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390" windowWidth="28800" windowHeight="6075"/>
  </bookViews>
  <sheets>
    <sheet name="СВОД" sheetId="1" r:id="rId1"/>
  </sheets>
  <definedNames>
    <definedName name="_xlnm._FilterDatabase" localSheetId="0" hidden="1">СВОД!$A$10:$X$196</definedName>
    <definedName name="_xlnm.Print_Titles" localSheetId="0">СВОД!$11:$11</definedName>
    <definedName name="_xlnm.Print_Area" localSheetId="0">СВОД!$A$1:$M$207</definedName>
  </definedNames>
  <calcPr calcId="124519"/>
</workbook>
</file>

<file path=xl/calcChain.xml><?xml version="1.0" encoding="utf-8"?>
<calcChain xmlns="http://schemas.openxmlformats.org/spreadsheetml/2006/main">
  <c r="K11" i="1"/>
  <c r="K130" l="1"/>
  <c r="J152" l="1"/>
  <c r="J151"/>
  <c r="J150"/>
  <c r="J149"/>
  <c r="J148"/>
  <c r="J147"/>
  <c r="J145"/>
  <c r="J144"/>
  <c r="I152"/>
  <c r="I151"/>
  <c r="I150"/>
  <c r="I149"/>
  <c r="I148"/>
  <c r="I147"/>
  <c r="I145"/>
  <c r="I144"/>
  <c r="J141"/>
  <c r="J140"/>
  <c r="J139"/>
  <c r="J137"/>
  <c r="J136"/>
  <c r="J135"/>
  <c r="J134"/>
  <c r="J133"/>
  <c r="I141"/>
  <c r="I140"/>
  <c r="I139"/>
  <c r="I137"/>
  <c r="I136"/>
  <c r="I135"/>
  <c r="I134"/>
  <c r="I133"/>
  <c r="G144" l="1"/>
  <c r="G140"/>
  <c r="G148"/>
  <c r="G137"/>
  <c r="G152"/>
  <c r="G141"/>
  <c r="K174" l="1"/>
  <c r="K159" l="1"/>
  <c r="K154" s="1"/>
  <c r="J60" l="1"/>
  <c r="I60"/>
  <c r="G60"/>
  <c r="J50"/>
  <c r="I50"/>
  <c r="G50"/>
  <c r="J42"/>
  <c r="I42"/>
  <c r="G42"/>
  <c r="J22"/>
  <c r="I22"/>
  <c r="G22"/>
  <c r="K71"/>
  <c r="L33"/>
  <c r="M33"/>
  <c r="K33"/>
  <c r="L35"/>
  <c r="M35"/>
  <c r="K35"/>
  <c r="L37"/>
  <c r="M37"/>
  <c r="K37"/>
  <c r="M18"/>
  <c r="J143" l="1"/>
  <c r="I143"/>
  <c r="I132"/>
  <c r="J132"/>
  <c r="M72"/>
  <c r="K107"/>
  <c r="K83" s="1"/>
  <c r="L190"/>
  <c r="M190"/>
  <c r="K190"/>
  <c r="K181" s="1"/>
  <c r="G136"/>
  <c r="G139"/>
  <c r="G134"/>
  <c r="G133"/>
  <c r="G135"/>
  <c r="G151"/>
  <c r="G149"/>
  <c r="G150"/>
  <c r="G147"/>
  <c r="G145"/>
  <c r="K153"/>
  <c r="K143" s="1"/>
  <c r="K142"/>
  <c r="M153"/>
  <c r="M143" s="1"/>
  <c r="L153"/>
  <c r="L143" s="1"/>
  <c r="G143" l="1"/>
  <c r="G132"/>
  <c r="M71"/>
  <c r="M68" s="1"/>
  <c r="L71"/>
  <c r="L68" s="1"/>
  <c r="K132"/>
  <c r="M142"/>
  <c r="M132" s="1"/>
  <c r="L142"/>
  <c r="L132" s="1"/>
  <c r="K68"/>
  <c r="K59"/>
  <c r="K57" s="1"/>
  <c r="M59"/>
  <c r="M57" s="1"/>
  <c r="L59"/>
  <c r="L57" s="1"/>
  <c r="M49" l="1"/>
  <c r="M47" s="1"/>
  <c r="L49"/>
  <c r="L47" s="1"/>
  <c r="K49"/>
  <c r="K47" s="1"/>
  <c r="M41"/>
  <c r="M39" s="1"/>
  <c r="L41"/>
  <c r="L39" s="1"/>
  <c r="K40"/>
  <c r="K41" s="1"/>
  <c r="K39" s="1"/>
  <c r="M21"/>
  <c r="L21"/>
  <c r="K21"/>
  <c r="L18"/>
  <c r="K18"/>
  <c r="L16" l="1"/>
  <c r="M16"/>
  <c r="K16"/>
  <c r="L19"/>
  <c r="M19"/>
  <c r="K19"/>
  <c r="L125" l="1"/>
  <c r="L122" s="1"/>
  <c r="M125"/>
  <c r="M122" s="1"/>
  <c r="K125"/>
  <c r="K122" s="1"/>
  <c r="L83" l="1"/>
  <c r="L80" s="1"/>
  <c r="M83"/>
  <c r="M80" s="1"/>
  <c r="K80" l="1"/>
  <c r="G100"/>
  <c r="K74" l="1"/>
  <c r="J20"/>
  <c r="I20"/>
  <c r="G20"/>
  <c r="L14"/>
  <c r="M14"/>
  <c r="K14"/>
  <c r="L154" l="1"/>
  <c r="L130" s="1"/>
  <c r="M154"/>
  <c r="M130" s="1"/>
  <c r="L60" l="1"/>
  <c r="L55" s="1"/>
  <c r="M60"/>
  <c r="M55" s="1"/>
  <c r="K60"/>
  <c r="K55" s="1"/>
  <c r="L50" l="1"/>
  <c r="M50"/>
  <c r="K50"/>
  <c r="L42"/>
  <c r="M42"/>
  <c r="K42"/>
  <c r="L29" l="1"/>
  <c r="M29"/>
  <c r="K29"/>
  <c r="L22"/>
  <c r="L12" s="1"/>
  <c r="M22"/>
  <c r="M12" s="1"/>
  <c r="K22"/>
  <c r="K12" s="1"/>
  <c r="K72" l="1"/>
  <c r="K67" s="1"/>
  <c r="L72" l="1"/>
  <c r="L67" s="1"/>
  <c r="M67"/>
  <c r="M186" l="1"/>
  <c r="M181" s="1"/>
  <c r="M11" s="1"/>
  <c r="L186" l="1"/>
  <c r="L181" s="1"/>
  <c r="L11" s="1"/>
</calcChain>
</file>

<file path=xl/sharedStrings.xml><?xml version="1.0" encoding="utf-8"?>
<sst xmlns="http://schemas.openxmlformats.org/spreadsheetml/2006/main" count="1282" uniqueCount="329">
  <si>
    <t>Приложение</t>
  </si>
  <si>
    <t>План реализации</t>
  </si>
  <si>
    <t>Показатель выполнения мероприятия</t>
  </si>
  <si>
    <t>Наименование показателя</t>
  </si>
  <si>
    <t>Ед. изм.</t>
  </si>
  <si>
    <t>2023 год</t>
  </si>
  <si>
    <t>Плановое значение</t>
  </si>
  <si>
    <t>Срок реализации</t>
  </si>
  <si>
    <t>3</t>
  </si>
  <si>
    <t>01</t>
  </si>
  <si>
    <t>х</t>
  </si>
  <si>
    <t>Организация библиотечного обслуживания населения комплектование и обеспечение сохранности их библиотечных фондов</t>
  </si>
  <si>
    <t>тыс. экземпляров</t>
  </si>
  <si>
    <t>единиц</t>
  </si>
  <si>
    <t>МАУК "Калининградская ЦБС"</t>
  </si>
  <si>
    <t>Количество объектов</t>
  </si>
  <si>
    <t>Количество  компьютерной техники</t>
  </si>
  <si>
    <t>Количество оборудования</t>
  </si>
  <si>
    <t>Комитет по социальной политике</t>
  </si>
  <si>
    <t>03</t>
  </si>
  <si>
    <t>Число посещений муниципального музея</t>
  </si>
  <si>
    <t>тыс. человек</t>
  </si>
  <si>
    <t>Количество выставок, организованных муниципальным музеем</t>
  </si>
  <si>
    <t xml:space="preserve">Количество посетителей зоопарка </t>
  </si>
  <si>
    <t>Количество видов животных в коллекции зоопарка</t>
  </si>
  <si>
    <t>видов</t>
  </si>
  <si>
    <t>не менее 250</t>
  </si>
  <si>
    <t>МАУК "Калининградский зоопарк"</t>
  </si>
  <si>
    <t>МАУК "Музей "Фридландские ворота"</t>
  </si>
  <si>
    <t>04</t>
  </si>
  <si>
    <t>Организация и проведение концертов и концертных программ</t>
  </si>
  <si>
    <t>человек</t>
  </si>
  <si>
    <t>Создание концертов и концертных программ</t>
  </si>
  <si>
    <t>МАУК КТК "Дом искусств"</t>
  </si>
  <si>
    <t>Количество мероприятий</t>
  </si>
  <si>
    <t>декабрь. 2022</t>
  </si>
  <si>
    <t>05</t>
  </si>
  <si>
    <t>Организация деятельности клубных формирований и формирований самодеятельного народного творчества</t>
  </si>
  <si>
    <t>МАУ ДК "Машиностроитель"</t>
  </si>
  <si>
    <t>Оказание услуг (выполнение работ) по организации деятельности клубных формирований и формирований самодеятельного народного творчества</t>
  </si>
  <si>
    <t>МАУК ДК "Чкаловский"</t>
  </si>
  <si>
    <t>06</t>
  </si>
  <si>
    <t>Организация массовых городских мероприятий</t>
  </si>
  <si>
    <t>Количество участников и зрителей</t>
  </si>
  <si>
    <t>Организация и проведение праздничных мероприятий, посвященных торжественной встрече Нового года</t>
  </si>
  <si>
    <t>3000*</t>
  </si>
  <si>
    <t>3 000*</t>
  </si>
  <si>
    <t>Участие в организации и проведении праздничного мероприятия «День селедки»</t>
  </si>
  <si>
    <t xml:space="preserve">Количество участников и зрителей </t>
  </si>
  <si>
    <t>40000*</t>
  </si>
  <si>
    <t>40 000*</t>
  </si>
  <si>
    <t>Организация и проведение торжественных мероприятий, посвященных Дню города</t>
  </si>
  <si>
    <t>Участие в организации и проведении праздничного мероприятия «Водная ассамблея»</t>
  </si>
  <si>
    <t>4000*</t>
  </si>
  <si>
    <t>Организация и проведение торжественных  мероприятий, посвященных Дню защитника Отечества</t>
  </si>
  <si>
    <t>Организация и проведение торжественных мероприятий, посвященных Международному женскому дню</t>
  </si>
  <si>
    <t>Организация и проведение торжественного мероприятия, посвященного Дню работника культуры</t>
  </si>
  <si>
    <t>Организация и проведение торжественных мероприятий, посвященных Дню штурма города-крепости Кенигсберг</t>
  </si>
  <si>
    <t>Организация и проведение торжественных мероприятий, посвященных празднованию Дня Победы</t>
  </si>
  <si>
    <t>Организация и проведение торжественных мероприятий, посвященных Дню России</t>
  </si>
  <si>
    <t>Организация и проведение торжественного мероприятия, посвященного Дню народного единства</t>
  </si>
  <si>
    <t>4 000</t>
  </si>
  <si>
    <t>07</t>
  </si>
  <si>
    <t>Сохранение, использование и популяризация объектов культурного наследия, мемориальных объектов и памятников</t>
  </si>
  <si>
    <t>Разработка проектов зон охраны объектов культурного наследия местного (муниципального) значения</t>
  </si>
  <si>
    <t>1</t>
  </si>
  <si>
    <t>08</t>
  </si>
  <si>
    <t>Обеспечение предоставления дополнительного образования детям в образовательных организациях в сфере культуры и искусства</t>
  </si>
  <si>
    <t>тыс.чел.</t>
  </si>
  <si>
    <t>Количество учащихся</t>
  </si>
  <si>
    <t>МАУ ДО "ДМШ им. Р.М. Глиэра"</t>
  </si>
  <si>
    <t>Оказание услуг в сфере дополнительного образования</t>
  </si>
  <si>
    <t>МАУ ДО "ДМШ им.Э.Т.А. Гофмана"</t>
  </si>
  <si>
    <t>МАУ ДО "ДШИ "Гармония"</t>
  </si>
  <si>
    <t>МАУ ДО ГО "Город Калининград" "ДМШ им.Д.Д. Шостаковича"</t>
  </si>
  <si>
    <t>МАУ ДО ГО "Город Калининград" "ДШИ им.Ф. Шопена"</t>
  </si>
  <si>
    <t>МАУ ДО ДМШ "Лира"</t>
  </si>
  <si>
    <t>МАУ ДО ДМШ им. Глинки М.И.</t>
  </si>
  <si>
    <t>МАУ ДО ДХШ</t>
  </si>
  <si>
    <t>МАУ ДО ДШИ им. П.И.Чайковского</t>
  </si>
  <si>
    <t>09</t>
  </si>
  <si>
    <t>Организация профессиональных конкурсов и праздничных мероприятий, творческих конкурсов, торжественных церемоний, предоставление грантов на реализацию социальных проектов</t>
  </si>
  <si>
    <t>Количество грантов в форме субсидий на реализацию социальных проектов, направленных на укрепление межнациональных, межэтнических и межконфессиональных отношений, профилактику экстремизма и ксенофобии</t>
  </si>
  <si>
    <t>5</t>
  </si>
  <si>
    <t>Количество детей, получивших поддержку и обучающихся в учреждениях дополнительного образования в сфере культуры</t>
  </si>
  <si>
    <t>28</t>
  </si>
  <si>
    <t>2</t>
  </si>
  <si>
    <t>Предоставление некоммерческим организациям  грантов в форме субсидий на реализацию социальных проектов, направленных на укрепление межнациональных, межэтнических и межконфессиональных отношений, профилактику экстремизма и ксенофобии</t>
  </si>
  <si>
    <t>Количество грантов</t>
  </si>
  <si>
    <t>Администрация городского округа "Город Калининград"</t>
  </si>
  <si>
    <t>6</t>
  </si>
  <si>
    <t>Выплата грантов на лучшее праздничное новогоднее оформление города</t>
  </si>
  <si>
    <t>Количество премий</t>
  </si>
  <si>
    <t>Выплата премий победителям Конкурса «Патриот Земли Российской» имени Великого князя Александра Невского</t>
  </si>
  <si>
    <t>Выплата премий победителям Конкурса «О ежегодной премии главы городского округа «Город Калининград» «Вдохновение»</t>
  </si>
  <si>
    <t>Количество стипендиатов</t>
  </si>
  <si>
    <t>Выплата стипендии главы городского округа "Город Калининград" и городского Совета депутатов Калининграда</t>
  </si>
  <si>
    <t>Организация и проведение Книжного фестиваля</t>
  </si>
  <si>
    <t>Организация и проведение Открытого конкурса на лучшее праздничное новогоднее оформление городского округа «Город Калининград»</t>
  </si>
  <si>
    <t>0</t>
  </si>
  <si>
    <t>2024 год</t>
  </si>
  <si>
    <t>Количество посещений муниципальных общедоступных библиотек</t>
  </si>
  <si>
    <t>Количество клубных формирований</t>
  </si>
  <si>
    <t>30</t>
  </si>
  <si>
    <t xml:space="preserve">Приобретение компьютерной техники </t>
  </si>
  <si>
    <t>м2</t>
  </si>
  <si>
    <t xml:space="preserve">Площадь территории </t>
  </si>
  <si>
    <t>Приобретение мебели</t>
  </si>
  <si>
    <t>Организация и проведение праздничных мероприятий, посвященных празднику Рождества Христова</t>
  </si>
  <si>
    <t>4</t>
  </si>
  <si>
    <t>9</t>
  </si>
  <si>
    <t>Реконструкция объекта "Аквариум" (литер Г) под "Террариум" по адресу г. Калининград проспект Мира 26</t>
  </si>
  <si>
    <t>Оборудование системы видеонаблюдения</t>
  </si>
  <si>
    <t>Приобретение музыкального оборудования (микрофоны)</t>
  </si>
  <si>
    <t>20</t>
  </si>
  <si>
    <t>21</t>
  </si>
  <si>
    <t>Количество услуг</t>
  </si>
  <si>
    <t>Количество предметов мебели</t>
  </si>
  <si>
    <t>Приобретение  оборудования для проведения виртуальных прогулок (экскурсий)</t>
  </si>
  <si>
    <t>Количество учреждений</t>
  </si>
  <si>
    <t>Приобретение компьютерной и копировальной техники</t>
  </si>
  <si>
    <t>8</t>
  </si>
  <si>
    <t>799</t>
  </si>
  <si>
    <t>2553</t>
  </si>
  <si>
    <t>КГХиС</t>
  </si>
  <si>
    <t xml:space="preserve">* комитет по социальной политике учавствует в мероприятиях в части технического обеспечения </t>
  </si>
  <si>
    <t>Исполнитель:</t>
  </si>
  <si>
    <t>Количество участников и зрителей/услуг</t>
  </si>
  <si>
    <t>Количество объектов/
площадь территории</t>
  </si>
  <si>
    <t>Реконструкция вольера для лосей (литеры Г-31, Г-32, Г-33) под вольер для содержания животных по адресу г. Калининград проспект Мира 26 (строительство нового медвежатника)</t>
  </si>
  <si>
    <t>МАУ ДО ГО "Город Калининград" "ДШИ "Гармония"</t>
  </si>
  <si>
    <t>Количество работников</t>
  </si>
  <si>
    <t>Количество зрителей, посетивших показы концертных программ</t>
  </si>
  <si>
    <t>Количество созданых концертов и концертных программ</t>
  </si>
  <si>
    <t>Приобретение МФУ</t>
  </si>
  <si>
    <t>Организация и проведение творческого вокального конкурса «Янтарная нота приглашает гостей»</t>
  </si>
  <si>
    <t>Организация и проведение торжественного мероприятия, посвященного Дню защиты детей</t>
  </si>
  <si>
    <t>Количество мемориалов «Вечный огнь», на которых обеспечено бесперебойное функционирование</t>
  </si>
  <si>
    <t xml:space="preserve">Площадь территорий, на которой проводятся работы по текущему содержанию территорий объектов культурного наследия местного (муниципального) значения в скверах и зеленых зонах 
г.Калининграда
</t>
  </si>
  <si>
    <t>Количество объектов, на которых проведены работы по сохранению объектов культурного 
наследия местного (муниципального) значения, воинских захоронений и малых архитектурных форм, посвященных 
Великой Отечественной войне, памятников и памятных знаков,  не входящих в списки объектов культурного наследия, выполнены услуги технического надзора и для которых разработана проектно-сметная документация</t>
  </si>
  <si>
    <t>Площадь территорий, на которой проводятся работы по текущему содержанию территорий объектов культурного наследия местного (муниципального) значения в скверах и зеленых зонах 
г.Калининграда</t>
  </si>
  <si>
    <t>Количество  объектов</t>
  </si>
  <si>
    <t>Количество массовых городских мероприятий на территории города  Калининграда</t>
  </si>
  <si>
    <t>Количество учащихся муниципальных учреждений дополнительного образования детей в сфере культуры и искусства</t>
  </si>
  <si>
    <t>единиц/м2</t>
  </si>
  <si>
    <t>Количество кресел</t>
  </si>
  <si>
    <t>Организация и проведение торжественного мероприятия, посвященного Дню отца</t>
  </si>
  <si>
    <t>Организация и проведение торжественного мероприятия, посвященного Дню пожилого человека</t>
  </si>
  <si>
    <t>Организация и проведение торжественного мероприятия, посвященного Дню матери</t>
  </si>
  <si>
    <t>Организация и проведение торжественного мероприятия, посвященного Дню инвалидов</t>
  </si>
  <si>
    <t>Количество вывесок</t>
  </si>
  <si>
    <t>Приобретение зеркал настенных в хореографический зал</t>
  </si>
  <si>
    <t>Учреждения дополнительного образования</t>
  </si>
  <si>
    <t>Приобретение кресел для оборудования актового зала</t>
  </si>
  <si>
    <t xml:space="preserve">Бочковская Юлия Владимировна </t>
  </si>
  <si>
    <t>8 (4012) 92-37-13</t>
  </si>
  <si>
    <t xml:space="preserve">Капитальный ремонт концертного зала </t>
  </si>
  <si>
    <t>Количество мемориалов «Вечный огнь», на которых обеспечено бесперебойное функционирование газогорелочного устройства</t>
  </si>
  <si>
    <t>Организация и проведение торжественного мероприятия "Люди труда"</t>
  </si>
  <si>
    <t>Количество объектов, на которых проведены работы по сохранению объектов культурного наследия местного (муниципального) значения, воинских захоронений и малых архитектурных форм, посвященных Великой Отечественной войне, памятников и памятных знаков, не входящих в списки объектов культурного наследия, выполнены услуги технического 
надзора и для которых разработана проектно-сметная документация</t>
  </si>
  <si>
    <t>Количество документов фонда библиотек, состоящих на учете</t>
  </si>
  <si>
    <t>декабрь.
2023</t>
  </si>
  <si>
    <t>Библиотечное, библиографическое и информационное обслуживание пользователей библиотеки</t>
  </si>
  <si>
    <t>Комплектование, библиографирование и обеспечение сохранности фондов библиотек</t>
  </si>
  <si>
    <t>Материально-техническое обеспечение библиотек</t>
  </si>
  <si>
    <t>68121</t>
  </si>
  <si>
    <t>68111</t>
  </si>
  <si>
    <t>Приобретение пресс-волла</t>
  </si>
  <si>
    <t>Количество пресс-волла</t>
  </si>
  <si>
    <t>Смартфон с "Андроидом"и камерами-про</t>
  </si>
  <si>
    <t>Количество смартфонов</t>
  </si>
  <si>
    <t xml:space="preserve">Техническое обследование систем канализации, водоотведения и водоснабжения (библиотека им. А.М. Горького, библиотека им. А.С. Пушкина, библиотека им. А.И. Герцена) </t>
  </si>
  <si>
    <t>Ремонт помещений библиотек №№ 2,12</t>
  </si>
  <si>
    <t>Реконструкция вольера для ластоногих Калининградского зоопарка со строительством очистных сооружений по адресу пр. Мира, 26</t>
  </si>
  <si>
    <t>48252</t>
  </si>
  <si>
    <t>Сохранение и содержание зоопарка</t>
  </si>
  <si>
    <t>68211</t>
  </si>
  <si>
    <t>410</t>
  </si>
  <si>
    <t>420</t>
  </si>
  <si>
    <t>Организация публичного показа музейных предметов и музейных коллекций, коллекций диких и домашних животных, растений, формирование, учет, хранение, изучение и обеспечение сохранности музейного фонда</t>
  </si>
  <si>
    <t>Материально-техническое обеспечение зоопарка</t>
  </si>
  <si>
    <t>68221</t>
  </si>
  <si>
    <t>Автоматизация системы внутреннего противопожарного водопровода и системы автоматической установки пожаротушения Тропического дома. Литер В1</t>
  </si>
  <si>
    <t xml:space="preserve">Реставрация скульптур </t>
  </si>
  <si>
    <t xml:space="preserve">Обследование, разработка ПСД фасада (противоаварийные работы) и внутренних помещений Административного здания Литер А, А1  </t>
  </si>
  <si>
    <t>Капитальный ремонт внутренних сетей водоотведения объекта Жирафник (Литер С)</t>
  </si>
  <si>
    <t>68311</t>
  </si>
  <si>
    <t>Управление музейными коллекциями и обеспечение их хранения</t>
  </si>
  <si>
    <t>59</t>
  </si>
  <si>
    <t>60</t>
  </si>
  <si>
    <t>Материально-техническое обеспечение музеев</t>
  </si>
  <si>
    <t>68321</t>
  </si>
  <si>
    <t xml:space="preserve">Услуга по организации (аудио контент и оборудование) для проекта "Иммерсивный променад" </t>
  </si>
  <si>
    <t>Приобретение стационарного арочного павильона</t>
  </si>
  <si>
    <t xml:space="preserve">Изготовление деревянных ворот с выходом на дозорную тропу </t>
  </si>
  <si>
    <t>муниципальной программы «Сохранение и развитие культуры в городском округе «Город Калининград» на 2023 год и плановый период 2024-2025 гг.</t>
  </si>
  <si>
    <t>Код основного
мероприятия муници-пальной программы</t>
  </si>
  <si>
    <t>Код нап-равления расходов</t>
  </si>
  <si>
    <t>Исполнитель мероприятия муници-
пальной программы</t>
  </si>
  <si>
    <t xml:space="preserve">Основное мероприятие муниципальной программы 
/ направление расходов / мероприятие муниципальной программы </t>
  </si>
  <si>
    <t xml:space="preserve">2024 год </t>
  </si>
  <si>
    <t>2025 год</t>
  </si>
  <si>
    <t>Сумма финансового обеспечения по годам реализации,
тыс. руб.</t>
  </si>
  <si>
    <t>68112</t>
  </si>
  <si>
    <t>S4005</t>
  </si>
  <si>
    <t>S4006</t>
  </si>
  <si>
    <t>68411</t>
  </si>
  <si>
    <t>Материально-техническое обеспечение театров</t>
  </si>
  <si>
    <t>68421</t>
  </si>
  <si>
    <t>Капитальный ремонт фасада, крылец здания, освещение фасада здания, помещения большого зрительного (концертного) зала в здании МАУК КТК "Дом искусств", авторский надзор, строительный контроль</t>
  </si>
  <si>
    <t>Приобретение сценического покрытия в связи с износом</t>
  </si>
  <si>
    <t>декабрь. 2023</t>
  </si>
  <si>
    <t>Приобретение офисной техники</t>
  </si>
  <si>
    <t>Количество микрофонов</t>
  </si>
  <si>
    <t>Количество компьютерной техники</t>
  </si>
  <si>
    <t>48</t>
  </si>
  <si>
    <t>49</t>
  </si>
  <si>
    <t>18</t>
  </si>
  <si>
    <t>19</t>
  </si>
  <si>
    <t>68511</t>
  </si>
  <si>
    <t>68521</t>
  </si>
  <si>
    <t>Материально-техническое обеспечение клубных формирований</t>
  </si>
  <si>
    <t>Обследование здания, разработка проектно-сметной документации на капитальный ремонт здания по ул.Карташева, 105. Разработка проектно-сметной документации на устройство контура заземления здания по ул. Карташева, 111</t>
  </si>
  <si>
    <t>Устройство системы ливневой канализации, дренажа, ремонт фундамента, благоустройство территории. Экспертиза балок большого концертного зала. Корректировка проектно-сметной документации</t>
  </si>
  <si>
    <t>68611</t>
  </si>
  <si>
    <t>Организация и проведение мероприятий</t>
  </si>
  <si>
    <t>январь. 2023</t>
  </si>
  <si>
    <t>март.
2023</t>
  </si>
  <si>
    <t>июль.
2023</t>
  </si>
  <si>
    <t>сентябрь.
2023</t>
  </si>
  <si>
    <t>май.
2023</t>
  </si>
  <si>
    <t>Реализация дополнительных общеразвивающих программ</t>
  </si>
  <si>
    <t>67311</t>
  </si>
  <si>
    <t>Реализация дополнительных предпрофессиональных программ в области искусств</t>
  </si>
  <si>
    <t>67312</t>
  </si>
  <si>
    <t>Материально-техническое обеспечение учреждений дополнительного образования</t>
  </si>
  <si>
    <t>67321</t>
  </si>
  <si>
    <t>Количество конкурсов и фестивалей для детей, проводимых учреждениями дополнительного образования детей в сфере культуры</t>
  </si>
  <si>
    <t>Капитальный ремонт фасада и внутренних помещений, капитальный ремонт систем водоснабжения, водоотведения и отопления, ремонт внутренних сетей электроснабжения (ул. Минина и Пожарского,4)</t>
  </si>
  <si>
    <t xml:space="preserve">Капитальный ремонт дренажной системы и ливневой канализации, фундамента, внутренних лестничных маршей, г.Калининград, ул.Некрасова, 16 </t>
  </si>
  <si>
    <t>Разработка проектно-сметной документации на капитальный ремонт сетей электроснабжения  
(ул. Некрасова, 16)</t>
  </si>
  <si>
    <t>Количество проектно-сметных документаций</t>
  </si>
  <si>
    <t>Изготовление технической документации для внесения изменений в ЕГРН (ул. Тельмана, ул. Некрасова)</t>
  </si>
  <si>
    <t xml:space="preserve">Количество предметов мебели </t>
  </si>
  <si>
    <t xml:space="preserve">Количество зеркал </t>
  </si>
  <si>
    <t>Изготовление вывески с названием музыкальной школы</t>
  </si>
  <si>
    <t>Ремонт лестничного марша, помещений</t>
  </si>
  <si>
    <t>Ремонт помещений, гардеробной</t>
  </si>
  <si>
    <t>Благоустройство территории</t>
  </si>
  <si>
    <t>Ремонт дренажной системы и ливневой канализации с устройством гидроизоляции стен подвала здания МАУ ДО ДХШ г. Калининград, являющегося объектом культурного наследия регионального значения «Дом директора Хуфенской гимназии», 1915 год, находящегося в г. Калининград, проспект Мира, д. 28,  технический, авторский надзор. Корректировка проектно-сметной документации</t>
  </si>
  <si>
    <t>Расчет пожарных рисков</t>
  </si>
  <si>
    <t>Разработка проектно-сметной документации на капитальный ремонт внутренней системы водоснабжения и водоотведения, внутренних помещений</t>
  </si>
  <si>
    <t>Капитальный ремонт внутренней системы водоснабжения и водоотведения, технический, авторский надзор</t>
  </si>
  <si>
    <t>Разработка проектно-сметной документации на благоустройство территории</t>
  </si>
  <si>
    <t>Капитальный ремонт систем электроснабжения, внутренних помещений,  благоустройство территории, технический, авторский надзор</t>
  </si>
  <si>
    <t>Благоустройство территории, устройство наружного освещения, видеонаблюдения, технический, авторский надзор</t>
  </si>
  <si>
    <t>Капитальный ремонт фасада здания, технический, авторский надзор</t>
  </si>
  <si>
    <t>Капитальный ремонт систем электроснабжения, отопления, водоснабжения, водоотведения, вентиляции, видеонаблюдения, локально-вычислительной сети,  внутренних помещений,  технический, авторский надзор</t>
  </si>
  <si>
    <t>L5190</t>
  </si>
  <si>
    <t>Государственная поддержка отрасли культуры</t>
  </si>
  <si>
    <t>Приобретение интерактивного киоска</t>
  </si>
  <si>
    <t xml:space="preserve">Модернизация входной группы и установка пандуса для людей с ограниченными возможностями </t>
  </si>
  <si>
    <t>Количество киосков</t>
  </si>
  <si>
    <t>131 500/4</t>
  </si>
  <si>
    <t>март 2023</t>
  </si>
  <si>
    <t>Организация и проведение праздничных мероприятий «Калининград встречает май»</t>
  </si>
  <si>
    <t>май 2023</t>
  </si>
  <si>
    <t>Организация и проведение торжественного мероприятия, посвященного Дню социального работника</t>
  </si>
  <si>
    <t>июнь 2023</t>
  </si>
  <si>
    <t xml:space="preserve">Организация и проведение Церемонии награждения стипендиатов городского округа «Город Калининград» – одаренных детей </t>
  </si>
  <si>
    <t>октябрь.
2023</t>
  </si>
  <si>
    <t>декабрь 2023</t>
  </si>
  <si>
    <t>Организация и проведение торжественного мероприятия, посвященного Дню семьи, любви и верности</t>
  </si>
  <si>
    <t>Организация и проведение церемонии награджения по итогам спортивнго года "За физическое и нравственное здоровье нации"</t>
  </si>
  <si>
    <t>апрель 2023</t>
  </si>
  <si>
    <t>февраль.
2023</t>
  </si>
  <si>
    <t xml:space="preserve">Организация и проведение торжественной церемонии награждения лауреатов конкурса «Патриот Земли Российской» имени Великого князя Александра Невского за достижения в области патриотического воспитания»   </t>
  </si>
  <si>
    <t>Фонд оплаты труда (38 162 х 2 х 12 х 1,302)</t>
  </si>
  <si>
    <t>Временно не распредленные средства</t>
  </si>
  <si>
    <t>декабрь. 
2023</t>
  </si>
  <si>
    <t>Организация и проведение Конкурса музеев</t>
  </si>
  <si>
    <t>Организация и проведение конкурса профессионального мастерства «Лучший библиотекарь-2023»</t>
  </si>
  <si>
    <t>Количество профессиональных конкурсов и празднечных мероприятий</t>
  </si>
  <si>
    <t>Количество конкурсов</t>
  </si>
  <si>
    <t>Количество фестивалей</t>
  </si>
  <si>
    <t>май. 
2023</t>
  </si>
  <si>
    <t>ноябрь.
2023</t>
  </si>
  <si>
    <t>июнь
2023</t>
  </si>
  <si>
    <t>апрель.
2023</t>
  </si>
  <si>
    <t>34</t>
  </si>
  <si>
    <t>24</t>
  </si>
  <si>
    <t>27/
40 750,50</t>
  </si>
  <si>
    <t>Обеспечение сохранения, использования и популяризации объектов культурного наследия, мемориальных объектов и памятников</t>
  </si>
  <si>
    <t>68711</t>
  </si>
  <si>
    <t>Временно не распределенные средства</t>
  </si>
  <si>
    <t>февраль. 2023</t>
  </si>
  <si>
    <t>август.
2023</t>
  </si>
  <si>
    <t>декабрь. 202</t>
  </si>
  <si>
    <t>Количество премий в целях патриотического воспитания детей и молодежи</t>
  </si>
  <si>
    <t>Количество преемий в целях развития культуры и искусства</t>
  </si>
  <si>
    <t>Количество грантов на празнечное новогоднее оформление зданий и территорий</t>
  </si>
  <si>
    <t>Предоставление грантов на реализацию социальных проектов</t>
  </si>
  <si>
    <t>91134</t>
  </si>
  <si>
    <t>Гранты на праздничное новогоднее оформление зданий и территорий</t>
  </si>
  <si>
    <t>85331</t>
  </si>
  <si>
    <t>Выплата премий в целях развития культуры и искусства</t>
  </si>
  <si>
    <t>68931</t>
  </si>
  <si>
    <t>Выплата премий в целях патриотического воспитания детей и молодежи</t>
  </si>
  <si>
    <t>67733</t>
  </si>
  <si>
    <t>66539</t>
  </si>
  <si>
    <t>Организация и проведение торжественного мероприятия, посвященного 105-летию образования комиссии по делам несовершеннолетних и защите их прав</t>
  </si>
  <si>
    <t>Организация и проведение торжественного мероприятия, посвященного 80-летию разгрома советскими войсками немецко-фашистских войск в сталининградской битве</t>
  </si>
  <si>
    <t>Концертная программа в ФГБУ «1409 военно-морской клинический госпиталь» для военнослужащих, получивших ранения в ходе выполнения  специальной военной операции, в преддверии Дня Защитника Отечества</t>
  </si>
  <si>
    <t>февраль 2023</t>
  </si>
  <si>
    <t>ВСЕГО по программе:</t>
  </si>
  <si>
    <t>Осуществление капитальных вложений в объекты муниципальной собственности (Реконструкция объекта "Аквариум" (литер Г) под "Террариум" по адресу г. Калининград проспект Мира 26)</t>
  </si>
  <si>
    <t>Осуществление капитальных вложений в объекты муниципальной собственности (Реконструкция вольера для лосей(литеры Г-31, Г-32, Г-33) под вольер для содержания животных по адресу г. Калининград проспект Мира 26 (строительство нового медвежатника)</t>
  </si>
  <si>
    <t>человек/
единиц</t>
  </si>
  <si>
    <t>Количество учрежденией</t>
  </si>
  <si>
    <t>Разработка ПСД на ремонт системы видеонаблюдения, проверка ПСД , ремонт системы видеонаблюдения</t>
  </si>
  <si>
    <t>Участие в организации и проведении мероприятия "Сказки Старого города"</t>
  </si>
  <si>
    <t>Капитальный ремонт дренажной системы и ливневой канализации с устройством гидроизоляции стен подвала здания МАУ ДО ГО "Город Калининград" "ДШИ им. Ф. Шопена", являющегося объектом культурного наследия регионального значения «Здание народной школы имени Оттокара», 1890-1900 годы, г. Калининград, ул. Горького, 113,  технический, авторский надзор</t>
  </si>
  <si>
    <t>Проверка сметной документации в ГАУ КО "ЦПЭ и ЦС"</t>
  </si>
  <si>
    <t>30/
40 750,50</t>
  </si>
  <si>
    <t>37/
40 750,50</t>
  </si>
  <si>
    <t xml:space="preserve">единиц </t>
  </si>
  <si>
    <t>КГРиЦ</t>
  </si>
  <si>
    <t>Стипендии для одаренных детей и молодежи</t>
  </si>
  <si>
    <t xml:space="preserve"> к приказу комитета по социальной политике
от 26.01.2023 № п-КпСП-116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</si>
</sst>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00"/>
    <numFmt numFmtId="166" formatCode="#,##0.000"/>
  </numFmts>
  <fonts count="12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1" fillId="0" borderId="0"/>
  </cellStyleXfs>
  <cellXfs count="219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Continuous" vertical="center" wrapText="1"/>
    </xf>
    <xf numFmtId="0" fontId="1" fillId="0" borderId="0" xfId="0" applyFont="1" applyAlignment="1">
      <alignment horizontal="centerContinuous"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9" xfId="0" applyFont="1" applyBorder="1" applyAlignment="1">
      <alignment wrapText="1"/>
    </xf>
    <xf numFmtId="49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9" fontId="1" fillId="3" borderId="9" xfId="0" applyNumberFormat="1" applyFont="1" applyFill="1" applyBorder="1" applyAlignment="1">
      <alignment horizontal="center" vertical="center" wrapText="1"/>
    </xf>
    <xf numFmtId="4" fontId="8" fillId="3" borderId="0" xfId="0" applyNumberFormat="1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left" vertical="center" wrapText="1"/>
    </xf>
    <xf numFmtId="4" fontId="1" fillId="0" borderId="0" xfId="0" applyNumberFormat="1" applyFont="1" applyAlignment="1">
      <alignment wrapText="1"/>
    </xf>
    <xf numFmtId="49" fontId="1" fillId="0" borderId="9" xfId="0" applyNumberFormat="1" applyFont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3" fontId="1" fillId="3" borderId="9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3" fontId="1" fillId="0" borderId="9" xfId="0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49" fontId="1" fillId="0" borderId="4" xfId="0" applyNumberFormat="1" applyFont="1" applyBorder="1" applyAlignment="1">
      <alignment horizont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9" xfId="0" applyFont="1" applyFill="1" applyBorder="1" applyAlignment="1">
      <alignment horizontal="left" wrapText="1"/>
    </xf>
    <xf numFmtId="0" fontId="1" fillId="0" borderId="9" xfId="0" applyFont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Continuous" vertical="center" wrapText="1"/>
    </xf>
    <xf numFmtId="0" fontId="9" fillId="0" borderId="9" xfId="0" applyFont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49" fontId="1" fillId="0" borderId="8" xfId="0" applyNumberFormat="1" applyFont="1" applyBorder="1" applyAlignment="1">
      <alignment horizontal="left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8" xfId="0" applyNumberFormat="1" applyFont="1" applyBorder="1" applyAlignment="1">
      <alignment horizontal="center" vertical="center" wrapText="1"/>
    </xf>
    <xf numFmtId="0" fontId="3" fillId="4" borderId="9" xfId="0" applyFont="1" applyFill="1" applyBorder="1" applyAlignment="1">
      <alignment horizontal="left" vertical="center" wrapText="1"/>
    </xf>
    <xf numFmtId="4" fontId="3" fillId="4" borderId="9" xfId="0" applyNumberFormat="1" applyFont="1" applyFill="1" applyBorder="1" applyAlignment="1">
      <alignment horizontal="center" vertical="center" wrapText="1"/>
    </xf>
    <xf numFmtId="49" fontId="3" fillId="4" borderId="9" xfId="0" applyNumberFormat="1" applyFont="1" applyFill="1" applyBorder="1" applyAlignment="1">
      <alignment horizontal="center" vertical="center" wrapText="1"/>
    </xf>
    <xf numFmtId="0" fontId="3" fillId="4" borderId="9" xfId="0" applyNumberFormat="1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wrapText="1"/>
    </xf>
    <xf numFmtId="0" fontId="3" fillId="4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left" vertical="center" wrapText="1"/>
    </xf>
    <xf numFmtId="3" fontId="3" fillId="4" borderId="9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4" fontId="1" fillId="2" borderId="9" xfId="0" applyNumberFormat="1" applyFont="1" applyFill="1" applyBorder="1" applyAlignment="1">
      <alignment horizontal="center" vertical="center" wrapText="1"/>
    </xf>
    <xf numFmtId="3" fontId="1" fillId="2" borderId="9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left" vertical="center" wrapText="1"/>
    </xf>
    <xf numFmtId="49" fontId="10" fillId="2" borderId="9" xfId="0" applyNumberFormat="1" applyFont="1" applyFill="1" applyBorder="1" applyAlignment="1">
      <alignment horizontal="center" vertical="center" wrapText="1"/>
    </xf>
    <xf numFmtId="3" fontId="3" fillId="2" borderId="9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4" fillId="5" borderId="9" xfId="0" applyFont="1" applyFill="1" applyBorder="1" applyAlignment="1">
      <alignment horizontal="left" vertical="center" wrapText="1"/>
    </xf>
    <xf numFmtId="4" fontId="3" fillId="5" borderId="9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wrapText="1"/>
    </xf>
    <xf numFmtId="49" fontId="3" fillId="5" borderId="9" xfId="0" applyNumberFormat="1" applyFont="1" applyFill="1" applyBorder="1" applyAlignment="1">
      <alignment horizontal="center" wrapText="1"/>
    </xf>
    <xf numFmtId="0" fontId="3" fillId="5" borderId="9" xfId="0" applyFont="1" applyFill="1" applyBorder="1" applyAlignment="1">
      <alignment horizontal="center" vertical="center" wrapText="1"/>
    </xf>
    <xf numFmtId="3" fontId="3" fillId="5" borderId="9" xfId="0" applyNumberFormat="1" applyFont="1" applyFill="1" applyBorder="1" applyAlignment="1">
      <alignment horizontal="center" vertical="center" wrapText="1"/>
    </xf>
    <xf numFmtId="49" fontId="3" fillId="5" borderId="9" xfId="0" applyNumberFormat="1" applyFont="1" applyFill="1" applyBorder="1" applyAlignment="1">
      <alignment horizontal="center" vertical="center" wrapText="1"/>
    </xf>
    <xf numFmtId="49" fontId="3" fillId="5" borderId="4" xfId="0" applyNumberFormat="1" applyFont="1" applyFill="1" applyBorder="1" applyAlignment="1">
      <alignment horizontal="center" vertical="center" wrapText="1"/>
    </xf>
    <xf numFmtId="164" fontId="3" fillId="5" borderId="9" xfId="0" applyNumberFormat="1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left" vertical="center" wrapText="1"/>
    </xf>
    <xf numFmtId="49" fontId="1" fillId="2" borderId="9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left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165" fontId="1" fillId="0" borderId="9" xfId="0" applyNumberFormat="1" applyFont="1" applyBorder="1" applyAlignment="1">
      <alignment horizontal="center" vertical="center" wrapText="1"/>
    </xf>
    <xf numFmtId="166" fontId="1" fillId="0" borderId="9" xfId="0" applyNumberFormat="1" applyFont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vertical="center" wrapText="1"/>
    </xf>
    <xf numFmtId="0" fontId="3" fillId="5" borderId="9" xfId="0" applyFont="1" applyFill="1" applyBorder="1" applyAlignment="1">
      <alignment horizontal="center" wrapText="1"/>
    </xf>
    <xf numFmtId="0" fontId="3" fillId="5" borderId="0" xfId="0" applyFont="1" applyFill="1" applyAlignment="1">
      <alignment wrapText="1"/>
    </xf>
    <xf numFmtId="0" fontId="3" fillId="5" borderId="9" xfId="0" applyFont="1" applyFill="1" applyBorder="1" applyAlignment="1">
      <alignment horizontal="left" vertical="center" wrapText="1"/>
    </xf>
    <xf numFmtId="0" fontId="3" fillId="5" borderId="0" xfId="0" applyFont="1" applyFill="1" applyAlignment="1">
      <alignment horizontal="center" wrapText="1"/>
    </xf>
    <xf numFmtId="0" fontId="6" fillId="5" borderId="9" xfId="0" applyFont="1" applyFill="1" applyBorder="1" applyAlignment="1">
      <alignment horizontal="left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0" fontId="1" fillId="6" borderId="0" xfId="0" applyFont="1" applyFill="1" applyAlignment="1">
      <alignment wrapText="1"/>
    </xf>
    <xf numFmtId="49" fontId="3" fillId="7" borderId="9" xfId="0" applyNumberFormat="1" applyFont="1" applyFill="1" applyBorder="1" applyAlignment="1">
      <alignment horizontal="center" wrapText="1"/>
    </xf>
    <xf numFmtId="49" fontId="3" fillId="7" borderId="4" xfId="0" applyNumberFormat="1" applyFont="1" applyFill="1" applyBorder="1" applyAlignment="1">
      <alignment horizontal="center" wrapText="1"/>
    </xf>
    <xf numFmtId="0" fontId="3" fillId="7" borderId="9" xfId="0" applyFont="1" applyFill="1" applyBorder="1" applyAlignment="1">
      <alignment horizontal="center" wrapText="1"/>
    </xf>
    <xf numFmtId="4" fontId="3" fillId="7" borderId="9" xfId="0" applyNumberFormat="1" applyFont="1" applyFill="1" applyBorder="1" applyAlignment="1">
      <alignment horizontal="center" wrapText="1"/>
    </xf>
    <xf numFmtId="0" fontId="3" fillId="4" borderId="0" xfId="0" applyFont="1" applyFill="1" applyAlignment="1">
      <alignment horizontal="center" vertical="center" wrapText="1"/>
    </xf>
    <xf numFmtId="49" fontId="3" fillId="4" borderId="4" xfId="0" applyNumberFormat="1" applyFont="1" applyFill="1" applyBorder="1" applyAlignment="1">
      <alignment horizontal="center" vertical="center" wrapText="1"/>
    </xf>
    <xf numFmtId="49" fontId="3" fillId="4" borderId="9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5" fillId="5" borderId="9" xfId="0" applyFont="1" applyFill="1" applyBorder="1" applyAlignment="1">
      <alignment horizontal="left" vertical="center" wrapText="1"/>
    </xf>
    <xf numFmtId="0" fontId="1" fillId="5" borderId="9" xfId="0" applyFont="1" applyFill="1" applyBorder="1" applyAlignment="1">
      <alignment horizontal="left" vertical="center" wrapText="1"/>
    </xf>
    <xf numFmtId="0" fontId="1" fillId="5" borderId="9" xfId="0" applyFont="1" applyFill="1" applyBorder="1" applyAlignment="1">
      <alignment horizontal="center" vertical="center" wrapText="1"/>
    </xf>
    <xf numFmtId="3" fontId="1" fillId="5" borderId="9" xfId="0" applyNumberFormat="1" applyFont="1" applyFill="1" applyBorder="1" applyAlignment="1">
      <alignment horizontal="center" vertical="center" wrapText="1"/>
    </xf>
    <xf numFmtId="49" fontId="1" fillId="5" borderId="9" xfId="0" applyNumberFormat="1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5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  <xf numFmtId="49" fontId="1" fillId="3" borderId="8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4" fontId="6" fillId="2" borderId="6" xfId="0" applyNumberFormat="1" applyFont="1" applyFill="1" applyBorder="1" applyAlignment="1">
      <alignment horizontal="center" vertical="center"/>
    </xf>
    <xf numFmtId="4" fontId="6" fillId="2" borderId="8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center" vertical="top" wrapText="1"/>
    </xf>
    <xf numFmtId="49" fontId="3" fillId="2" borderId="5" xfId="0" applyNumberFormat="1" applyFont="1" applyFill="1" applyBorder="1" applyAlignment="1">
      <alignment horizontal="center" vertical="top" wrapText="1"/>
    </xf>
    <xf numFmtId="49" fontId="3" fillId="2" borderId="10" xfId="0" applyNumberFormat="1" applyFont="1" applyFill="1" applyBorder="1" applyAlignment="1">
      <alignment horizontal="center" vertical="top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26"/>
  <sheetViews>
    <sheetView tabSelected="1" view="pageBreakPreview" topLeftCell="A106" zoomScale="70" zoomScaleNormal="90" zoomScaleSheetLayoutView="70" zoomScalePageLayoutView="70" workbookViewId="0">
      <selection activeCell="D206" sqref="D206"/>
    </sheetView>
  </sheetViews>
  <sheetFormatPr defaultColWidth="8.85546875" defaultRowHeight="15.75" outlineLevelCol="1"/>
  <cols>
    <col min="1" max="1" width="12.5703125" style="1" customWidth="1"/>
    <col min="2" max="2" width="10.7109375" style="1" customWidth="1"/>
    <col min="3" max="3" width="29.42578125" style="1" customWidth="1"/>
    <col min="4" max="4" width="56" style="1" customWidth="1"/>
    <col min="5" max="5" width="46.5703125" style="1" customWidth="1"/>
    <col min="6" max="6" width="13.85546875" style="1" customWidth="1"/>
    <col min="7" max="7" width="20.5703125" style="1" bestFit="1" customWidth="1"/>
    <col min="8" max="10" width="13.140625" style="1" customWidth="1"/>
    <col min="11" max="11" width="22.85546875" style="1" customWidth="1"/>
    <col min="12" max="13" width="14.42578125" style="1" customWidth="1" outlineLevel="1"/>
    <col min="14" max="14" width="10.140625" style="1" bestFit="1" customWidth="1"/>
    <col min="15" max="15" width="16.85546875" style="1" bestFit="1" customWidth="1"/>
    <col min="16" max="16384" width="8.85546875" style="1"/>
  </cols>
  <sheetData>
    <row r="1" spans="1:13">
      <c r="K1" s="1" t="s">
        <v>0</v>
      </c>
    </row>
    <row r="2" spans="1:13">
      <c r="J2" s="193" t="s">
        <v>328</v>
      </c>
      <c r="K2" s="193"/>
      <c r="L2" s="193"/>
    </row>
    <row r="3" spans="1:13">
      <c r="H3" s="33"/>
      <c r="I3" s="33"/>
      <c r="J3" s="193"/>
      <c r="K3" s="193"/>
      <c r="L3" s="193"/>
    </row>
    <row r="4" spans="1:13" ht="18.75">
      <c r="A4" s="2" t="s">
        <v>1</v>
      </c>
      <c r="B4" s="3"/>
      <c r="C4" s="3"/>
      <c r="D4" s="3"/>
      <c r="E4" s="3"/>
      <c r="F4" s="3"/>
      <c r="G4" s="3"/>
      <c r="H4" s="3"/>
      <c r="I4" s="3"/>
      <c r="J4" s="3"/>
    </row>
    <row r="5" spans="1:13" ht="18.75">
      <c r="A5" s="194" t="s">
        <v>195</v>
      </c>
      <c r="B5" s="194"/>
      <c r="C5" s="194"/>
      <c r="D5" s="194"/>
      <c r="E5" s="194"/>
      <c r="F5" s="194"/>
      <c r="G5" s="194"/>
      <c r="H5" s="194"/>
      <c r="I5" s="194"/>
      <c r="J5" s="194"/>
      <c r="K5" s="194"/>
    </row>
    <row r="7" spans="1:13">
      <c r="A7" s="195" t="s">
        <v>196</v>
      </c>
      <c r="B7" s="196" t="s">
        <v>197</v>
      </c>
      <c r="C7" s="199" t="s">
        <v>198</v>
      </c>
      <c r="D7" s="199" t="s">
        <v>199</v>
      </c>
      <c r="E7" s="202" t="s">
        <v>2</v>
      </c>
      <c r="F7" s="203"/>
      <c r="G7" s="203"/>
      <c r="H7" s="203"/>
      <c r="I7" s="203"/>
      <c r="J7" s="204"/>
      <c r="K7" s="195" t="s">
        <v>202</v>
      </c>
      <c r="L7" s="195"/>
      <c r="M7" s="195"/>
    </row>
    <row r="8" spans="1:13">
      <c r="A8" s="195"/>
      <c r="B8" s="197"/>
      <c r="C8" s="200"/>
      <c r="D8" s="200"/>
      <c r="E8" s="199" t="s">
        <v>3</v>
      </c>
      <c r="F8" s="199" t="s">
        <v>4</v>
      </c>
      <c r="G8" s="202" t="s">
        <v>5</v>
      </c>
      <c r="H8" s="204"/>
      <c r="I8" s="63" t="s">
        <v>200</v>
      </c>
      <c r="J8" s="64" t="s">
        <v>201</v>
      </c>
      <c r="K8" s="195"/>
      <c r="L8" s="195"/>
      <c r="M8" s="195"/>
    </row>
    <row r="9" spans="1:13" ht="30">
      <c r="A9" s="195"/>
      <c r="B9" s="198"/>
      <c r="C9" s="201"/>
      <c r="D9" s="201"/>
      <c r="E9" s="201"/>
      <c r="F9" s="201"/>
      <c r="G9" s="65" t="s">
        <v>6</v>
      </c>
      <c r="H9" s="65" t="s">
        <v>7</v>
      </c>
      <c r="I9" s="65"/>
      <c r="J9" s="65"/>
      <c r="K9" s="110" t="s">
        <v>5</v>
      </c>
      <c r="L9" s="110" t="s">
        <v>100</v>
      </c>
      <c r="M9" s="110" t="s">
        <v>201</v>
      </c>
    </row>
    <row r="10" spans="1:13">
      <c r="A10" s="5">
        <v>1</v>
      </c>
      <c r="B10" s="31">
        <v>2</v>
      </c>
      <c r="C10" s="5" t="s">
        <v>8</v>
      </c>
      <c r="D10" s="6">
        <v>4</v>
      </c>
      <c r="E10" s="6">
        <v>5</v>
      </c>
      <c r="F10" s="6">
        <v>6</v>
      </c>
      <c r="G10" s="6">
        <v>7</v>
      </c>
      <c r="H10" s="6">
        <v>8</v>
      </c>
      <c r="I10" s="6">
        <v>9</v>
      </c>
      <c r="J10" s="6">
        <v>10</v>
      </c>
      <c r="K10" s="6">
        <v>11</v>
      </c>
      <c r="L10" s="7">
        <v>12</v>
      </c>
      <c r="M10" s="7">
        <v>13</v>
      </c>
    </row>
    <row r="11" spans="1:13">
      <c r="A11" s="136" t="s">
        <v>10</v>
      </c>
      <c r="B11" s="137" t="s">
        <v>10</v>
      </c>
      <c r="C11" s="136" t="s">
        <v>10</v>
      </c>
      <c r="D11" s="138" t="s">
        <v>314</v>
      </c>
      <c r="E11" s="138" t="s">
        <v>10</v>
      </c>
      <c r="F11" s="138" t="s">
        <v>10</v>
      </c>
      <c r="G11" s="138" t="s">
        <v>10</v>
      </c>
      <c r="H11" s="138" t="s">
        <v>10</v>
      </c>
      <c r="I11" s="138" t="s">
        <v>10</v>
      </c>
      <c r="J11" s="138" t="s">
        <v>10</v>
      </c>
      <c r="K11" s="139">
        <f>K12+K29+K55+K67+K80+K122+K130+K181</f>
        <v>1007931.27</v>
      </c>
      <c r="L11" s="139">
        <f>L12+L29+L55+L67+L80+L122+L130+L181</f>
        <v>1185841.28</v>
      </c>
      <c r="M11" s="139">
        <f>M12+M29+M55+M67+M80+M122+M130+M181</f>
        <v>928075.61</v>
      </c>
    </row>
    <row r="12" spans="1:13" ht="31.5">
      <c r="A12" s="205" t="s">
        <v>9</v>
      </c>
      <c r="B12" s="210" t="s">
        <v>10</v>
      </c>
      <c r="C12" s="206" t="s">
        <v>10</v>
      </c>
      <c r="D12" s="207" t="s">
        <v>11</v>
      </c>
      <c r="E12" s="113" t="s">
        <v>101</v>
      </c>
      <c r="F12" s="85" t="s">
        <v>13</v>
      </c>
      <c r="G12" s="91">
        <v>806500</v>
      </c>
      <c r="H12" s="85" t="s">
        <v>161</v>
      </c>
      <c r="I12" s="91">
        <v>808500</v>
      </c>
      <c r="J12" s="91">
        <v>810500</v>
      </c>
      <c r="K12" s="172">
        <f>K14+K16+K19+K22</f>
        <v>144556.47</v>
      </c>
      <c r="L12" s="172">
        <f t="shared" ref="L12:M12" si="0">L14+L16+L19+L22</f>
        <v>153696.77000000002</v>
      </c>
      <c r="M12" s="172">
        <f t="shared" si="0"/>
        <v>151749.01</v>
      </c>
    </row>
    <row r="13" spans="1:13" ht="31.5">
      <c r="A13" s="206"/>
      <c r="B13" s="211"/>
      <c r="C13" s="209"/>
      <c r="D13" s="208"/>
      <c r="E13" s="114" t="s">
        <v>160</v>
      </c>
      <c r="F13" s="85" t="s">
        <v>12</v>
      </c>
      <c r="G13" s="115">
        <v>600</v>
      </c>
      <c r="H13" s="115" t="s">
        <v>161</v>
      </c>
      <c r="I13" s="116">
        <v>600</v>
      </c>
      <c r="J13" s="116">
        <v>600</v>
      </c>
      <c r="K13" s="173"/>
      <c r="L13" s="173"/>
      <c r="M13" s="173"/>
    </row>
    <row r="14" spans="1:13" s="75" customFormat="1">
      <c r="A14" s="80" t="s">
        <v>9</v>
      </c>
      <c r="B14" s="80" t="s">
        <v>258</v>
      </c>
      <c r="C14" s="80" t="s">
        <v>10</v>
      </c>
      <c r="D14" s="78" t="s">
        <v>259</v>
      </c>
      <c r="E14" s="142" t="s">
        <v>119</v>
      </c>
      <c r="F14" s="82" t="s">
        <v>13</v>
      </c>
      <c r="G14" s="80" t="s">
        <v>65</v>
      </c>
      <c r="H14" s="80" t="s">
        <v>10</v>
      </c>
      <c r="I14" s="81">
        <v>1</v>
      </c>
      <c r="J14" s="81">
        <v>1</v>
      </c>
      <c r="K14" s="79">
        <f>K15</f>
        <v>2152.13</v>
      </c>
      <c r="L14" s="79">
        <f t="shared" ref="L14:M14" si="1">L15</f>
        <v>2152.13</v>
      </c>
      <c r="M14" s="79">
        <f t="shared" si="1"/>
        <v>22.31</v>
      </c>
    </row>
    <row r="15" spans="1:13" s="75" customFormat="1" ht="31.5">
      <c r="A15" s="157" t="s">
        <v>9</v>
      </c>
      <c r="B15" s="23" t="s">
        <v>258</v>
      </c>
      <c r="C15" s="157" t="s">
        <v>14</v>
      </c>
      <c r="D15" s="15" t="s">
        <v>163</v>
      </c>
      <c r="E15" s="143" t="s">
        <v>160</v>
      </c>
      <c r="F15" s="8" t="s">
        <v>12</v>
      </c>
      <c r="G15" s="77">
        <v>56</v>
      </c>
      <c r="H15" s="68" t="s">
        <v>161</v>
      </c>
      <c r="I15" s="77">
        <v>54</v>
      </c>
      <c r="J15" s="77">
        <v>1</v>
      </c>
      <c r="K15" s="73">
        <v>2152.13</v>
      </c>
      <c r="L15" s="73">
        <v>2152.13</v>
      </c>
      <c r="M15" s="73">
        <v>22.31</v>
      </c>
    </row>
    <row r="16" spans="1:13" s="75" customFormat="1" ht="47.25">
      <c r="A16" s="80" t="s">
        <v>9</v>
      </c>
      <c r="B16" s="80" t="s">
        <v>166</v>
      </c>
      <c r="C16" s="80" t="s">
        <v>10</v>
      </c>
      <c r="D16" s="78" t="s">
        <v>162</v>
      </c>
      <c r="E16" s="142" t="s">
        <v>101</v>
      </c>
      <c r="F16" s="83" t="s">
        <v>13</v>
      </c>
      <c r="G16" s="80">
        <v>806500</v>
      </c>
      <c r="H16" s="80" t="s">
        <v>10</v>
      </c>
      <c r="I16" s="81">
        <v>808500</v>
      </c>
      <c r="J16" s="81">
        <v>810500</v>
      </c>
      <c r="K16" s="79">
        <f>K17+K18</f>
        <v>113773.49</v>
      </c>
      <c r="L16" s="79">
        <f t="shared" ref="L16:M16" si="2">L17+L18</f>
        <v>120007.18</v>
      </c>
      <c r="M16" s="79">
        <f t="shared" si="2"/>
        <v>120146.93</v>
      </c>
    </row>
    <row r="17" spans="1:15" s="75" customFormat="1" ht="31.5">
      <c r="A17" s="166" t="s">
        <v>9</v>
      </c>
      <c r="B17" s="166" t="s">
        <v>166</v>
      </c>
      <c r="C17" s="166" t="s">
        <v>14</v>
      </c>
      <c r="D17" s="69" t="s">
        <v>162</v>
      </c>
      <c r="E17" s="70" t="s">
        <v>101</v>
      </c>
      <c r="F17" s="71" t="s">
        <v>13</v>
      </c>
      <c r="G17" s="72">
        <v>806500</v>
      </c>
      <c r="H17" s="71" t="s">
        <v>161</v>
      </c>
      <c r="I17" s="72">
        <v>808500</v>
      </c>
      <c r="J17" s="72">
        <v>810500</v>
      </c>
      <c r="K17" s="73">
        <v>113741.011</v>
      </c>
      <c r="L17" s="73">
        <v>119842.852</v>
      </c>
      <c r="M17" s="73">
        <v>119842.852</v>
      </c>
    </row>
    <row r="18" spans="1:15">
      <c r="A18" s="168"/>
      <c r="B18" s="168"/>
      <c r="C18" s="168"/>
      <c r="D18" s="7" t="s">
        <v>294</v>
      </c>
      <c r="E18" s="7" t="s">
        <v>10</v>
      </c>
      <c r="F18" s="7" t="s">
        <v>10</v>
      </c>
      <c r="G18" s="7" t="s">
        <v>10</v>
      </c>
      <c r="H18" s="7" t="s">
        <v>10</v>
      </c>
      <c r="I18" s="7" t="s">
        <v>10</v>
      </c>
      <c r="J18" s="7" t="s">
        <v>10</v>
      </c>
      <c r="K18" s="73">
        <f>113773.49-K17</f>
        <v>32.479000000006636</v>
      </c>
      <c r="L18" s="73">
        <f>120007.18-L17</f>
        <v>164.32799999999406</v>
      </c>
      <c r="M18" s="73">
        <f>120146.93-M17</f>
        <v>304.07799999999406</v>
      </c>
    </row>
    <row r="19" spans="1:15" ht="47.25">
      <c r="A19" s="80" t="s">
        <v>9</v>
      </c>
      <c r="B19" s="80" t="s">
        <v>203</v>
      </c>
      <c r="C19" s="80" t="s">
        <v>10</v>
      </c>
      <c r="D19" s="78" t="s">
        <v>163</v>
      </c>
      <c r="E19" s="80" t="s">
        <v>160</v>
      </c>
      <c r="F19" s="82" t="s">
        <v>12</v>
      </c>
      <c r="G19" s="80">
        <v>544</v>
      </c>
      <c r="H19" s="80" t="s">
        <v>10</v>
      </c>
      <c r="I19" s="81">
        <v>546</v>
      </c>
      <c r="J19" s="81">
        <v>599</v>
      </c>
      <c r="K19" s="79">
        <f>K20+K21</f>
        <v>20740.57</v>
      </c>
      <c r="L19" s="79">
        <f t="shared" ref="L19:M19" si="3">L20+L21</f>
        <v>21921.759999999998</v>
      </c>
      <c r="M19" s="79">
        <f t="shared" si="3"/>
        <v>21964.07</v>
      </c>
    </row>
    <row r="20" spans="1:15" ht="31.5">
      <c r="A20" s="166" t="s">
        <v>9</v>
      </c>
      <c r="B20" s="166" t="s">
        <v>203</v>
      </c>
      <c r="C20" s="166" t="s">
        <v>14</v>
      </c>
      <c r="D20" s="15" t="s">
        <v>163</v>
      </c>
      <c r="E20" s="17" t="s">
        <v>160</v>
      </c>
      <c r="F20" s="8" t="s">
        <v>12</v>
      </c>
      <c r="G20" s="21">
        <f>600-56</f>
        <v>544</v>
      </c>
      <c r="H20" s="8" t="s">
        <v>161</v>
      </c>
      <c r="I20" s="21">
        <f>600-54</f>
        <v>546</v>
      </c>
      <c r="J20" s="21">
        <f>600-1</f>
        <v>599</v>
      </c>
      <c r="K20" s="14">
        <v>20730.75</v>
      </c>
      <c r="L20" s="14">
        <v>21872.04</v>
      </c>
      <c r="M20" s="14">
        <v>21872.04</v>
      </c>
    </row>
    <row r="21" spans="1:15">
      <c r="A21" s="168"/>
      <c r="B21" s="168"/>
      <c r="C21" s="168"/>
      <c r="D21" s="7" t="s">
        <v>278</v>
      </c>
      <c r="E21" s="62" t="s">
        <v>10</v>
      </c>
      <c r="F21" s="62" t="s">
        <v>10</v>
      </c>
      <c r="G21" s="62" t="s">
        <v>10</v>
      </c>
      <c r="H21" s="62" t="s">
        <v>10</v>
      </c>
      <c r="I21" s="62" t="s">
        <v>10</v>
      </c>
      <c r="J21" s="62" t="s">
        <v>10</v>
      </c>
      <c r="K21" s="14">
        <f>20740.57-K20</f>
        <v>9.819999999999709</v>
      </c>
      <c r="L21" s="14">
        <f>21921.76-L20</f>
        <v>49.719999999997526</v>
      </c>
      <c r="M21" s="14">
        <f>21964.07-M20</f>
        <v>92.029999999998836</v>
      </c>
    </row>
    <row r="22" spans="1:15" ht="18.75">
      <c r="A22" s="80" t="s">
        <v>9</v>
      </c>
      <c r="B22" s="80" t="s">
        <v>165</v>
      </c>
      <c r="C22" s="80" t="s">
        <v>10</v>
      </c>
      <c r="D22" s="78" t="s">
        <v>164</v>
      </c>
      <c r="E22" s="142" t="s">
        <v>15</v>
      </c>
      <c r="F22" s="83" t="s">
        <v>13</v>
      </c>
      <c r="G22" s="87">
        <f>G23+G24+G25+G26+G27+G28</f>
        <v>28</v>
      </c>
      <c r="H22" s="80" t="s">
        <v>10</v>
      </c>
      <c r="I22" s="87">
        <f>I23+I24+I25+I26+I27+I28</f>
        <v>21</v>
      </c>
      <c r="J22" s="87">
        <f>J23+J24+J25+J26+J27+J28</f>
        <v>22</v>
      </c>
      <c r="K22" s="79">
        <f>K23+K24+K25+K26+K27+K28</f>
        <v>7890.2800000000007</v>
      </c>
      <c r="L22" s="79">
        <f t="shared" ref="L22:M22" si="4">L23+L24+L25+L26+L27+L28</f>
        <v>9615.7000000000007</v>
      </c>
      <c r="M22" s="79">
        <f t="shared" si="4"/>
        <v>9615.7000000000007</v>
      </c>
      <c r="O22" s="12"/>
    </row>
    <row r="23" spans="1:15" ht="47.25">
      <c r="A23" s="166" t="s">
        <v>9</v>
      </c>
      <c r="B23" s="166" t="s">
        <v>165</v>
      </c>
      <c r="C23" s="166" t="s">
        <v>14</v>
      </c>
      <c r="D23" s="27" t="s">
        <v>319</v>
      </c>
      <c r="E23" s="9" t="s">
        <v>34</v>
      </c>
      <c r="F23" s="42" t="s">
        <v>13</v>
      </c>
      <c r="G23" s="4">
        <v>1</v>
      </c>
      <c r="H23" s="8" t="s">
        <v>161</v>
      </c>
      <c r="I23" s="8" t="s">
        <v>65</v>
      </c>
      <c r="J23" s="8" t="s">
        <v>65</v>
      </c>
      <c r="K23" s="14">
        <v>3821.28</v>
      </c>
      <c r="L23" s="14">
        <v>7096.7</v>
      </c>
      <c r="M23" s="14">
        <v>7096.7</v>
      </c>
      <c r="O23" s="12"/>
    </row>
    <row r="24" spans="1:15" ht="31.5">
      <c r="A24" s="167"/>
      <c r="B24" s="167"/>
      <c r="C24" s="167"/>
      <c r="D24" s="27" t="s">
        <v>167</v>
      </c>
      <c r="E24" s="9" t="s">
        <v>168</v>
      </c>
      <c r="F24" s="42" t="s">
        <v>13</v>
      </c>
      <c r="G24" s="22">
        <v>1</v>
      </c>
      <c r="H24" s="8" t="s">
        <v>161</v>
      </c>
      <c r="I24" s="8" t="s">
        <v>99</v>
      </c>
      <c r="J24" s="8" t="s">
        <v>99</v>
      </c>
      <c r="K24" s="14">
        <v>200</v>
      </c>
      <c r="L24" s="14">
        <v>0</v>
      </c>
      <c r="M24" s="14">
        <v>0</v>
      </c>
      <c r="O24" s="12"/>
    </row>
    <row r="25" spans="1:15" ht="31.5">
      <c r="A25" s="167"/>
      <c r="B25" s="167"/>
      <c r="C25" s="167"/>
      <c r="D25" s="27" t="s">
        <v>169</v>
      </c>
      <c r="E25" s="60" t="s">
        <v>170</v>
      </c>
      <c r="F25" s="42" t="s">
        <v>13</v>
      </c>
      <c r="G25" s="4">
        <v>1</v>
      </c>
      <c r="H25" s="8" t="s">
        <v>161</v>
      </c>
      <c r="I25" s="8" t="s">
        <v>99</v>
      </c>
      <c r="J25" s="8" t="s">
        <v>99</v>
      </c>
      <c r="K25" s="14">
        <v>120</v>
      </c>
      <c r="L25" s="14">
        <v>0</v>
      </c>
      <c r="M25" s="14">
        <v>0</v>
      </c>
      <c r="O25" s="12"/>
    </row>
    <row r="26" spans="1:15" ht="63">
      <c r="A26" s="167"/>
      <c r="B26" s="167"/>
      <c r="C26" s="167"/>
      <c r="D26" s="18" t="s">
        <v>171</v>
      </c>
      <c r="E26" s="9" t="s">
        <v>15</v>
      </c>
      <c r="F26" s="45" t="s">
        <v>13</v>
      </c>
      <c r="G26" s="45">
        <v>3</v>
      </c>
      <c r="H26" s="8" t="s">
        <v>161</v>
      </c>
      <c r="I26" s="8" t="s">
        <v>99</v>
      </c>
      <c r="J26" s="8" t="s">
        <v>99</v>
      </c>
      <c r="K26" s="14">
        <v>550</v>
      </c>
      <c r="L26" s="14">
        <v>0</v>
      </c>
      <c r="M26" s="14">
        <v>0</v>
      </c>
      <c r="O26" s="12"/>
    </row>
    <row r="27" spans="1:15" ht="31.5">
      <c r="A27" s="167"/>
      <c r="B27" s="167"/>
      <c r="C27" s="167"/>
      <c r="D27" s="27" t="s">
        <v>172</v>
      </c>
      <c r="E27" s="9" t="s">
        <v>15</v>
      </c>
      <c r="F27" s="58" t="s">
        <v>13</v>
      </c>
      <c r="G27" s="58">
        <v>2</v>
      </c>
      <c r="H27" s="8" t="s">
        <v>161</v>
      </c>
      <c r="I27" s="8" t="s">
        <v>99</v>
      </c>
      <c r="J27" s="8" t="s">
        <v>99</v>
      </c>
      <c r="K27" s="14">
        <v>2000</v>
      </c>
      <c r="L27" s="14">
        <v>0</v>
      </c>
      <c r="M27" s="14">
        <v>0</v>
      </c>
      <c r="O27" s="12"/>
    </row>
    <row r="28" spans="1:15" ht="31.5">
      <c r="A28" s="168"/>
      <c r="B28" s="168"/>
      <c r="C28" s="168"/>
      <c r="D28" s="15" t="s">
        <v>104</v>
      </c>
      <c r="E28" s="15" t="s">
        <v>16</v>
      </c>
      <c r="F28" s="13" t="s">
        <v>13</v>
      </c>
      <c r="G28" s="22">
        <v>20</v>
      </c>
      <c r="H28" s="8" t="s">
        <v>161</v>
      </c>
      <c r="I28" s="23" t="s">
        <v>114</v>
      </c>
      <c r="J28" s="23" t="s">
        <v>115</v>
      </c>
      <c r="K28" s="14">
        <v>1199</v>
      </c>
      <c r="L28" s="14">
        <v>2519</v>
      </c>
      <c r="M28" s="14">
        <v>2519</v>
      </c>
      <c r="O28" s="12"/>
    </row>
    <row r="29" spans="1:15" ht="31.5">
      <c r="A29" s="191" t="s">
        <v>19</v>
      </c>
      <c r="B29" s="179" t="s">
        <v>10</v>
      </c>
      <c r="C29" s="182" t="s">
        <v>10</v>
      </c>
      <c r="D29" s="189" t="s">
        <v>179</v>
      </c>
      <c r="E29" s="113" t="s">
        <v>20</v>
      </c>
      <c r="F29" s="85" t="s">
        <v>21</v>
      </c>
      <c r="G29" s="117">
        <v>58</v>
      </c>
      <c r="H29" s="85" t="s">
        <v>161</v>
      </c>
      <c r="I29" s="117">
        <v>59</v>
      </c>
      <c r="J29" s="117">
        <v>60</v>
      </c>
      <c r="K29" s="172">
        <f>K33+K35+K37+K39+K42+K47+K50</f>
        <v>275389.85000000003</v>
      </c>
      <c r="L29" s="172">
        <f t="shared" ref="L29:M29" si="5">L33+L35+L37+L39+L42+L47+L50</f>
        <v>451929.49</v>
      </c>
      <c r="M29" s="172">
        <f t="shared" si="5"/>
        <v>261082.17</v>
      </c>
    </row>
    <row r="30" spans="1:15" ht="31.5">
      <c r="A30" s="191"/>
      <c r="B30" s="180"/>
      <c r="C30" s="183"/>
      <c r="D30" s="192"/>
      <c r="E30" s="113" t="s">
        <v>22</v>
      </c>
      <c r="F30" s="85" t="s">
        <v>13</v>
      </c>
      <c r="G30" s="117">
        <v>20</v>
      </c>
      <c r="H30" s="85" t="s">
        <v>161</v>
      </c>
      <c r="I30" s="117">
        <v>20</v>
      </c>
      <c r="J30" s="117">
        <v>20</v>
      </c>
      <c r="K30" s="172"/>
      <c r="L30" s="172"/>
      <c r="M30" s="172"/>
    </row>
    <row r="31" spans="1:15" ht="31.5">
      <c r="A31" s="191"/>
      <c r="B31" s="180"/>
      <c r="C31" s="183"/>
      <c r="D31" s="192"/>
      <c r="E31" s="113" t="s">
        <v>23</v>
      </c>
      <c r="F31" s="85" t="s">
        <v>21</v>
      </c>
      <c r="G31" s="117">
        <v>400</v>
      </c>
      <c r="H31" s="85" t="s">
        <v>161</v>
      </c>
      <c r="I31" s="117">
        <v>410</v>
      </c>
      <c r="J31" s="117">
        <v>420</v>
      </c>
      <c r="K31" s="172"/>
      <c r="L31" s="172"/>
      <c r="M31" s="172"/>
    </row>
    <row r="32" spans="1:15" ht="31.5">
      <c r="A32" s="191"/>
      <c r="B32" s="181"/>
      <c r="C32" s="184"/>
      <c r="D32" s="190"/>
      <c r="E32" s="113" t="s">
        <v>24</v>
      </c>
      <c r="F32" s="85" t="s">
        <v>25</v>
      </c>
      <c r="G32" s="85" t="s">
        <v>26</v>
      </c>
      <c r="H32" s="85" t="s">
        <v>161</v>
      </c>
      <c r="I32" s="85" t="s">
        <v>26</v>
      </c>
      <c r="J32" s="85" t="s">
        <v>26</v>
      </c>
      <c r="K32" s="172"/>
      <c r="L32" s="172"/>
      <c r="M32" s="172"/>
    </row>
    <row r="33" spans="1:13" ht="63">
      <c r="A33" s="80" t="s">
        <v>19</v>
      </c>
      <c r="B33" s="141" t="s">
        <v>204</v>
      </c>
      <c r="C33" s="80" t="s">
        <v>10</v>
      </c>
      <c r="D33" s="86" t="s">
        <v>315</v>
      </c>
      <c r="E33" s="78" t="s">
        <v>15</v>
      </c>
      <c r="F33" s="83" t="s">
        <v>13</v>
      </c>
      <c r="G33" s="83">
        <v>1</v>
      </c>
      <c r="H33" s="80" t="s">
        <v>10</v>
      </c>
      <c r="I33" s="80" t="s">
        <v>65</v>
      </c>
      <c r="J33" s="140" t="s">
        <v>99</v>
      </c>
      <c r="K33" s="79">
        <f>K34</f>
        <v>15167.07</v>
      </c>
      <c r="L33" s="79">
        <f t="shared" ref="L33:M33" si="6">L34</f>
        <v>30589.26</v>
      </c>
      <c r="M33" s="79">
        <f t="shared" si="6"/>
        <v>0</v>
      </c>
    </row>
    <row r="34" spans="1:13" s="135" customFormat="1" ht="47.25">
      <c r="A34" s="23" t="s">
        <v>19</v>
      </c>
      <c r="B34" s="158" t="s">
        <v>204</v>
      </c>
      <c r="C34" s="23" t="s">
        <v>27</v>
      </c>
      <c r="D34" s="18" t="s">
        <v>111</v>
      </c>
      <c r="E34" s="19" t="s">
        <v>15</v>
      </c>
      <c r="F34" s="22" t="s">
        <v>13</v>
      </c>
      <c r="G34" s="22">
        <v>1</v>
      </c>
      <c r="H34" s="23" t="s">
        <v>161</v>
      </c>
      <c r="I34" s="23" t="s">
        <v>65</v>
      </c>
      <c r="J34" s="23" t="s">
        <v>99</v>
      </c>
      <c r="K34" s="14">
        <v>15167.07</v>
      </c>
      <c r="L34" s="14">
        <v>30589.26</v>
      </c>
      <c r="M34" s="14">
        <v>0</v>
      </c>
    </row>
    <row r="35" spans="1:13" s="135" customFormat="1" ht="94.5">
      <c r="A35" s="80" t="s">
        <v>19</v>
      </c>
      <c r="B35" s="141" t="s">
        <v>205</v>
      </c>
      <c r="C35" s="80" t="s">
        <v>10</v>
      </c>
      <c r="D35" s="86" t="s">
        <v>316</v>
      </c>
      <c r="E35" s="78" t="s">
        <v>15</v>
      </c>
      <c r="F35" s="83" t="s">
        <v>13</v>
      </c>
      <c r="G35" s="83">
        <v>1</v>
      </c>
      <c r="H35" s="80" t="s">
        <v>10</v>
      </c>
      <c r="I35" s="80" t="s">
        <v>65</v>
      </c>
      <c r="J35" s="140" t="s">
        <v>99</v>
      </c>
      <c r="K35" s="79">
        <f>K36</f>
        <v>134426.64000000001</v>
      </c>
      <c r="L35" s="79">
        <f t="shared" ref="L35:M35" si="7">L36</f>
        <v>210404.74</v>
      </c>
      <c r="M35" s="79">
        <f t="shared" si="7"/>
        <v>0</v>
      </c>
    </row>
    <row r="36" spans="1:13" s="135" customFormat="1" ht="63">
      <c r="A36" s="23" t="s">
        <v>19</v>
      </c>
      <c r="B36" s="158" t="s">
        <v>205</v>
      </c>
      <c r="C36" s="23" t="s">
        <v>27</v>
      </c>
      <c r="D36" s="18" t="s">
        <v>129</v>
      </c>
      <c r="E36" s="19" t="s">
        <v>15</v>
      </c>
      <c r="F36" s="22" t="s">
        <v>13</v>
      </c>
      <c r="G36" s="22">
        <v>1</v>
      </c>
      <c r="H36" s="23" t="s">
        <v>161</v>
      </c>
      <c r="I36" s="23" t="s">
        <v>65</v>
      </c>
      <c r="J36" s="23" t="s">
        <v>99</v>
      </c>
      <c r="K36" s="14">
        <v>134426.64000000001</v>
      </c>
      <c r="L36" s="14">
        <v>210404.74</v>
      </c>
      <c r="M36" s="14">
        <v>0</v>
      </c>
    </row>
    <row r="37" spans="1:13" s="135" customFormat="1" ht="47.25">
      <c r="A37" s="80" t="s">
        <v>19</v>
      </c>
      <c r="B37" s="141" t="s">
        <v>174</v>
      </c>
      <c r="C37" s="80" t="s">
        <v>10</v>
      </c>
      <c r="D37" s="86" t="s">
        <v>173</v>
      </c>
      <c r="E37" s="78" t="s">
        <v>15</v>
      </c>
      <c r="F37" s="83" t="s">
        <v>13</v>
      </c>
      <c r="G37" s="83">
        <v>0</v>
      </c>
      <c r="H37" s="80" t="s">
        <v>10</v>
      </c>
      <c r="I37" s="80" t="s">
        <v>65</v>
      </c>
      <c r="J37" s="140" t="s">
        <v>65</v>
      </c>
      <c r="K37" s="79">
        <f>K38</f>
        <v>0</v>
      </c>
      <c r="L37" s="79">
        <f t="shared" ref="L37:M37" si="8">L38</f>
        <v>87069.37</v>
      </c>
      <c r="M37" s="79">
        <f t="shared" si="8"/>
        <v>137105.47</v>
      </c>
    </row>
    <row r="38" spans="1:13" s="135" customFormat="1" ht="48" customHeight="1">
      <c r="A38" s="23" t="s">
        <v>19</v>
      </c>
      <c r="B38" s="158" t="s">
        <v>174</v>
      </c>
      <c r="C38" s="23" t="s">
        <v>27</v>
      </c>
      <c r="D38" s="18" t="s">
        <v>173</v>
      </c>
      <c r="E38" s="19" t="s">
        <v>15</v>
      </c>
      <c r="F38" s="22" t="s">
        <v>13</v>
      </c>
      <c r="G38" s="22">
        <v>0</v>
      </c>
      <c r="H38" s="23" t="s">
        <v>10</v>
      </c>
      <c r="I38" s="23" t="s">
        <v>65</v>
      </c>
      <c r="J38" s="23" t="s">
        <v>65</v>
      </c>
      <c r="K38" s="14">
        <v>0</v>
      </c>
      <c r="L38" s="14">
        <v>87069.37</v>
      </c>
      <c r="M38" s="14">
        <v>137105.47</v>
      </c>
    </row>
    <row r="39" spans="1:13" ht="31.5">
      <c r="A39" s="80" t="s">
        <v>19</v>
      </c>
      <c r="B39" s="141" t="s">
        <v>176</v>
      </c>
      <c r="C39" s="80" t="s">
        <v>10</v>
      </c>
      <c r="D39" s="86" t="s">
        <v>175</v>
      </c>
      <c r="E39" s="78" t="s">
        <v>23</v>
      </c>
      <c r="F39" s="83" t="s">
        <v>21</v>
      </c>
      <c r="G39" s="83">
        <v>400</v>
      </c>
      <c r="H39" s="80" t="s">
        <v>10</v>
      </c>
      <c r="I39" s="80" t="s">
        <v>177</v>
      </c>
      <c r="J39" s="80" t="s">
        <v>178</v>
      </c>
      <c r="K39" s="79">
        <f>K40+K41</f>
        <v>97219.01</v>
      </c>
      <c r="L39" s="79">
        <f t="shared" ref="L39:M39" si="9">L40+L41</f>
        <v>101962.45</v>
      </c>
      <c r="M39" s="79">
        <f t="shared" si="9"/>
        <v>102052.57</v>
      </c>
    </row>
    <row r="40" spans="1:13" ht="31.5">
      <c r="A40" s="169" t="s">
        <v>19</v>
      </c>
      <c r="B40" s="169" t="s">
        <v>176</v>
      </c>
      <c r="C40" s="169" t="s">
        <v>27</v>
      </c>
      <c r="D40" s="18" t="s">
        <v>175</v>
      </c>
      <c r="E40" s="19" t="s">
        <v>23</v>
      </c>
      <c r="F40" s="22" t="s">
        <v>21</v>
      </c>
      <c r="G40" s="22">
        <v>400</v>
      </c>
      <c r="H40" s="23" t="s">
        <v>161</v>
      </c>
      <c r="I40" s="23" t="s">
        <v>177</v>
      </c>
      <c r="J40" s="23" t="s">
        <v>178</v>
      </c>
      <c r="K40" s="14">
        <f>97198.53-0.01</f>
        <v>97198.52</v>
      </c>
      <c r="L40" s="14">
        <v>101858.82</v>
      </c>
      <c r="M40" s="14">
        <v>101858.82</v>
      </c>
    </row>
    <row r="41" spans="1:13">
      <c r="A41" s="170"/>
      <c r="B41" s="170"/>
      <c r="C41" s="170"/>
      <c r="D41" s="18" t="s">
        <v>294</v>
      </c>
      <c r="E41" s="19" t="s">
        <v>10</v>
      </c>
      <c r="F41" s="22" t="s">
        <v>10</v>
      </c>
      <c r="G41" s="22" t="s">
        <v>10</v>
      </c>
      <c r="H41" s="23" t="s">
        <v>10</v>
      </c>
      <c r="I41" s="23" t="s">
        <v>10</v>
      </c>
      <c r="J41" s="23" t="s">
        <v>10</v>
      </c>
      <c r="K41" s="14">
        <f>97219.01-K40</f>
        <v>20.489999999990687</v>
      </c>
      <c r="L41" s="14">
        <f>101962.45-L40</f>
        <v>103.6299999999901</v>
      </c>
      <c r="M41" s="14">
        <f>102052.57-M40</f>
        <v>193.75</v>
      </c>
    </row>
    <row r="42" spans="1:13">
      <c r="A42" s="80" t="s">
        <v>19</v>
      </c>
      <c r="B42" s="141" t="s">
        <v>181</v>
      </c>
      <c r="C42" s="80" t="s">
        <v>10</v>
      </c>
      <c r="D42" s="86" t="s">
        <v>180</v>
      </c>
      <c r="E42" s="78" t="s">
        <v>15</v>
      </c>
      <c r="F42" s="83" t="s">
        <v>13</v>
      </c>
      <c r="G42" s="80">
        <f>G43+G44+G45+G46</f>
        <v>4</v>
      </c>
      <c r="H42" s="80" t="s">
        <v>10</v>
      </c>
      <c r="I42" s="80">
        <f>I43+I44+I45+I46</f>
        <v>1</v>
      </c>
      <c r="J42" s="80">
        <f>J43+J44+J45+J46</f>
        <v>1</v>
      </c>
      <c r="K42" s="79">
        <f>K43+K44+K45+K46</f>
        <v>9230.130000000001</v>
      </c>
      <c r="L42" s="79">
        <f t="shared" ref="L42:M42" si="10">L43+L44+L45+L46</f>
        <v>2685</v>
      </c>
      <c r="M42" s="79">
        <f t="shared" si="10"/>
        <v>2685</v>
      </c>
    </row>
    <row r="43" spans="1:13" ht="63">
      <c r="A43" s="163" t="s">
        <v>19</v>
      </c>
      <c r="B43" s="166" t="s">
        <v>181</v>
      </c>
      <c r="C43" s="166" t="s">
        <v>27</v>
      </c>
      <c r="D43" s="27" t="s">
        <v>182</v>
      </c>
      <c r="E43" s="19" t="s">
        <v>15</v>
      </c>
      <c r="F43" s="35" t="s">
        <v>13</v>
      </c>
      <c r="G43" s="23" t="s">
        <v>65</v>
      </c>
      <c r="H43" s="8" t="s">
        <v>161</v>
      </c>
      <c r="I43" s="8" t="s">
        <v>99</v>
      </c>
      <c r="J43" s="8" t="s">
        <v>99</v>
      </c>
      <c r="K43" s="14">
        <v>1655.13</v>
      </c>
      <c r="L43" s="14">
        <v>0</v>
      </c>
      <c r="M43" s="14">
        <v>0</v>
      </c>
    </row>
    <row r="44" spans="1:13" ht="31.5">
      <c r="A44" s="164"/>
      <c r="B44" s="167"/>
      <c r="C44" s="167"/>
      <c r="D44" s="27" t="s">
        <v>183</v>
      </c>
      <c r="E44" s="19" t="s">
        <v>15</v>
      </c>
      <c r="F44" s="45" t="s">
        <v>13</v>
      </c>
      <c r="G44" s="23" t="s">
        <v>99</v>
      </c>
      <c r="H44" s="8" t="s">
        <v>161</v>
      </c>
      <c r="I44" s="8" t="s">
        <v>65</v>
      </c>
      <c r="J44" s="8" t="s">
        <v>65</v>
      </c>
      <c r="K44" s="14">
        <v>0</v>
      </c>
      <c r="L44" s="14">
        <v>2685</v>
      </c>
      <c r="M44" s="14">
        <v>2685</v>
      </c>
    </row>
    <row r="45" spans="1:13" ht="47.25">
      <c r="A45" s="164"/>
      <c r="B45" s="167"/>
      <c r="C45" s="167"/>
      <c r="D45" s="19" t="s">
        <v>184</v>
      </c>
      <c r="E45" s="15" t="s">
        <v>34</v>
      </c>
      <c r="F45" s="13" t="s">
        <v>13</v>
      </c>
      <c r="G45" s="22">
        <v>2</v>
      </c>
      <c r="H45" s="8" t="s">
        <v>161</v>
      </c>
      <c r="I45" s="11" t="s">
        <v>99</v>
      </c>
      <c r="J45" s="11" t="s">
        <v>99</v>
      </c>
      <c r="K45" s="14">
        <v>1095</v>
      </c>
      <c r="L45" s="14">
        <v>0</v>
      </c>
      <c r="M45" s="14">
        <v>0</v>
      </c>
    </row>
    <row r="46" spans="1:13" ht="31.5">
      <c r="A46" s="165"/>
      <c r="B46" s="168"/>
      <c r="C46" s="168"/>
      <c r="D46" s="19" t="s">
        <v>185</v>
      </c>
      <c r="E46" s="15" t="s">
        <v>15</v>
      </c>
      <c r="F46" s="13" t="s">
        <v>13</v>
      </c>
      <c r="G46" s="22">
        <v>1</v>
      </c>
      <c r="H46" s="8" t="s">
        <v>161</v>
      </c>
      <c r="I46" s="11" t="s">
        <v>99</v>
      </c>
      <c r="J46" s="11" t="s">
        <v>99</v>
      </c>
      <c r="K46" s="14">
        <v>6480</v>
      </c>
      <c r="L46" s="14">
        <v>0</v>
      </c>
      <c r="M46" s="14">
        <v>0</v>
      </c>
    </row>
    <row r="47" spans="1:13" ht="31.5">
      <c r="A47" s="80" t="s">
        <v>19</v>
      </c>
      <c r="B47" s="141" t="s">
        <v>186</v>
      </c>
      <c r="C47" s="80" t="s">
        <v>10</v>
      </c>
      <c r="D47" s="78" t="s">
        <v>187</v>
      </c>
      <c r="E47" s="78" t="s">
        <v>20</v>
      </c>
      <c r="F47" s="83" t="s">
        <v>21</v>
      </c>
      <c r="G47" s="83">
        <v>58</v>
      </c>
      <c r="H47" s="80" t="s">
        <v>10</v>
      </c>
      <c r="I47" s="80" t="s">
        <v>188</v>
      </c>
      <c r="J47" s="80" t="s">
        <v>189</v>
      </c>
      <c r="K47" s="79">
        <f>K48+K49</f>
        <v>16641.060000000001</v>
      </c>
      <c r="L47" s="79">
        <f t="shared" ref="L47:M47" si="11">L48+L49</f>
        <v>18218.669999999998</v>
      </c>
      <c r="M47" s="79">
        <f t="shared" si="11"/>
        <v>18239.13</v>
      </c>
    </row>
    <row r="48" spans="1:13" ht="31.5">
      <c r="A48" s="169" t="s">
        <v>19</v>
      </c>
      <c r="B48" s="169" t="s">
        <v>186</v>
      </c>
      <c r="C48" s="169" t="s">
        <v>28</v>
      </c>
      <c r="D48" s="19" t="s">
        <v>187</v>
      </c>
      <c r="E48" s="19" t="s">
        <v>20</v>
      </c>
      <c r="F48" s="22" t="s">
        <v>21</v>
      </c>
      <c r="G48" s="22">
        <v>58</v>
      </c>
      <c r="H48" s="23" t="s">
        <v>161</v>
      </c>
      <c r="I48" s="23" t="s">
        <v>188</v>
      </c>
      <c r="J48" s="23" t="s">
        <v>189</v>
      </c>
      <c r="K48" s="14">
        <v>16636.305</v>
      </c>
      <c r="L48" s="14">
        <v>18194.64</v>
      </c>
      <c r="M48" s="14">
        <v>18194.64</v>
      </c>
    </row>
    <row r="49" spans="1:13">
      <c r="A49" s="170"/>
      <c r="B49" s="170"/>
      <c r="C49" s="170"/>
      <c r="D49" s="19" t="s">
        <v>294</v>
      </c>
      <c r="E49" s="22" t="s">
        <v>10</v>
      </c>
      <c r="F49" s="22" t="s">
        <v>10</v>
      </c>
      <c r="G49" s="22" t="s">
        <v>10</v>
      </c>
      <c r="H49" s="23" t="s">
        <v>10</v>
      </c>
      <c r="I49" s="23" t="s">
        <v>10</v>
      </c>
      <c r="J49" s="23" t="s">
        <v>10</v>
      </c>
      <c r="K49" s="14">
        <f>16641.06-K48</f>
        <v>4.7550000000010186</v>
      </c>
      <c r="L49" s="14">
        <f>18218.67-L48</f>
        <v>24.029999999998836</v>
      </c>
      <c r="M49" s="14">
        <f>18239.13-M48</f>
        <v>44.490000000001601</v>
      </c>
    </row>
    <row r="50" spans="1:13">
      <c r="A50" s="80" t="s">
        <v>19</v>
      </c>
      <c r="B50" s="141" t="s">
        <v>191</v>
      </c>
      <c r="C50" s="80" t="s">
        <v>10</v>
      </c>
      <c r="D50" s="78" t="s">
        <v>190</v>
      </c>
      <c r="E50" s="78" t="s">
        <v>15</v>
      </c>
      <c r="F50" s="83" t="s">
        <v>13</v>
      </c>
      <c r="G50" s="83">
        <f>G51+G52+G53+G54</f>
        <v>2</v>
      </c>
      <c r="H50" s="80" t="s">
        <v>10</v>
      </c>
      <c r="I50" s="83">
        <f>I51+I52+I53+I54</f>
        <v>1</v>
      </c>
      <c r="J50" s="83">
        <f>J51+J52+J53+J54</f>
        <v>1</v>
      </c>
      <c r="K50" s="79">
        <f>K51+K52+K53+K54</f>
        <v>2705.94</v>
      </c>
      <c r="L50" s="79">
        <f t="shared" ref="L50:M50" si="12">L51+L52+L53+L54</f>
        <v>1000</v>
      </c>
      <c r="M50" s="79">
        <f t="shared" si="12"/>
        <v>1000</v>
      </c>
    </row>
    <row r="51" spans="1:13" ht="31.5">
      <c r="A51" s="163" t="s">
        <v>19</v>
      </c>
      <c r="B51" s="163" t="s">
        <v>191</v>
      </c>
      <c r="C51" s="163" t="s">
        <v>28</v>
      </c>
      <c r="D51" s="19" t="s">
        <v>192</v>
      </c>
      <c r="E51" s="15" t="s">
        <v>34</v>
      </c>
      <c r="F51" s="13" t="s">
        <v>13</v>
      </c>
      <c r="G51" s="13">
        <v>1</v>
      </c>
      <c r="H51" s="8" t="s">
        <v>161</v>
      </c>
      <c r="I51" s="11" t="s">
        <v>99</v>
      </c>
      <c r="J51" s="11" t="s">
        <v>99</v>
      </c>
      <c r="K51" s="14">
        <v>535.94000000000005</v>
      </c>
      <c r="L51" s="14">
        <v>0</v>
      </c>
      <c r="M51" s="14">
        <v>0</v>
      </c>
    </row>
    <row r="52" spans="1:13" ht="31.5">
      <c r="A52" s="164"/>
      <c r="B52" s="164"/>
      <c r="C52" s="164"/>
      <c r="D52" s="9" t="s">
        <v>118</v>
      </c>
      <c r="E52" s="15" t="s">
        <v>17</v>
      </c>
      <c r="F52" s="13" t="s">
        <v>13</v>
      </c>
      <c r="G52" s="4">
        <v>0</v>
      </c>
      <c r="H52" s="23" t="s">
        <v>10</v>
      </c>
      <c r="I52" s="11">
        <v>1</v>
      </c>
      <c r="J52" s="11">
        <v>0</v>
      </c>
      <c r="K52" s="14">
        <v>0</v>
      </c>
      <c r="L52" s="14">
        <v>1000</v>
      </c>
      <c r="M52" s="14">
        <v>0</v>
      </c>
    </row>
    <row r="53" spans="1:13" ht="31.5">
      <c r="A53" s="164"/>
      <c r="B53" s="164"/>
      <c r="C53" s="164"/>
      <c r="D53" s="9" t="s">
        <v>194</v>
      </c>
      <c r="E53" s="15" t="s">
        <v>15</v>
      </c>
      <c r="F53" s="13" t="s">
        <v>13</v>
      </c>
      <c r="G53" s="45">
        <v>0</v>
      </c>
      <c r="H53" s="23" t="s">
        <v>10</v>
      </c>
      <c r="I53" s="11" t="s">
        <v>99</v>
      </c>
      <c r="J53" s="11" t="s">
        <v>65</v>
      </c>
      <c r="K53" s="14">
        <v>0</v>
      </c>
      <c r="L53" s="14">
        <v>0</v>
      </c>
      <c r="M53" s="14">
        <v>1000</v>
      </c>
    </row>
    <row r="54" spans="1:13" ht="31.5">
      <c r="A54" s="165"/>
      <c r="B54" s="165"/>
      <c r="C54" s="165"/>
      <c r="D54" s="1" t="s">
        <v>193</v>
      </c>
      <c r="E54" s="15" t="s">
        <v>15</v>
      </c>
      <c r="F54" s="13" t="s">
        <v>13</v>
      </c>
      <c r="G54" s="4">
        <v>1</v>
      </c>
      <c r="H54" s="8" t="s">
        <v>161</v>
      </c>
      <c r="I54" s="11" t="s">
        <v>99</v>
      </c>
      <c r="J54" s="11" t="s">
        <v>99</v>
      </c>
      <c r="K54" s="14">
        <v>2170</v>
      </c>
      <c r="L54" s="14">
        <v>0</v>
      </c>
      <c r="M54" s="14">
        <v>0</v>
      </c>
    </row>
    <row r="55" spans="1:13" ht="31.5">
      <c r="A55" s="191" t="s">
        <v>29</v>
      </c>
      <c r="B55" s="179" t="s">
        <v>10</v>
      </c>
      <c r="C55" s="182" t="s">
        <v>10</v>
      </c>
      <c r="D55" s="189" t="s">
        <v>30</v>
      </c>
      <c r="E55" s="112" t="s">
        <v>132</v>
      </c>
      <c r="F55" s="84" t="s">
        <v>31</v>
      </c>
      <c r="G55" s="91">
        <v>29084</v>
      </c>
      <c r="H55" s="85" t="s">
        <v>211</v>
      </c>
      <c r="I55" s="91">
        <v>29084</v>
      </c>
      <c r="J55" s="91">
        <v>29084</v>
      </c>
      <c r="K55" s="173">
        <f>K57+K60</f>
        <v>110536.37</v>
      </c>
      <c r="L55" s="173">
        <f t="shared" ref="L55:M55" si="13">L57+L60</f>
        <v>109761.36</v>
      </c>
      <c r="M55" s="173">
        <f t="shared" si="13"/>
        <v>46721.53</v>
      </c>
    </row>
    <row r="56" spans="1:13" ht="31.5">
      <c r="A56" s="191"/>
      <c r="B56" s="181"/>
      <c r="C56" s="184"/>
      <c r="D56" s="190"/>
      <c r="E56" s="112" t="s">
        <v>133</v>
      </c>
      <c r="F56" s="85" t="s">
        <v>13</v>
      </c>
      <c r="G56" s="85" t="s">
        <v>8</v>
      </c>
      <c r="H56" s="85" t="s">
        <v>211</v>
      </c>
      <c r="I56" s="85" t="s">
        <v>8</v>
      </c>
      <c r="J56" s="85" t="s">
        <v>8</v>
      </c>
      <c r="K56" s="177"/>
      <c r="L56" s="177"/>
      <c r="M56" s="177"/>
    </row>
    <row r="57" spans="1:13" ht="31.5">
      <c r="A57" s="80" t="s">
        <v>29</v>
      </c>
      <c r="B57" s="80" t="s">
        <v>206</v>
      </c>
      <c r="C57" s="80" t="s">
        <v>10</v>
      </c>
      <c r="D57" s="86" t="s">
        <v>32</v>
      </c>
      <c r="E57" s="83" t="s">
        <v>132</v>
      </c>
      <c r="F57" s="83" t="s">
        <v>31</v>
      </c>
      <c r="G57" s="87">
        <v>29084</v>
      </c>
      <c r="H57" s="80" t="s">
        <v>10</v>
      </c>
      <c r="I57" s="87">
        <v>29084</v>
      </c>
      <c r="J57" s="87">
        <v>29084</v>
      </c>
      <c r="K57" s="79">
        <f>K58+K59</f>
        <v>43026.22</v>
      </c>
      <c r="L57" s="79">
        <f>L58+L59</f>
        <v>45974.13</v>
      </c>
      <c r="M57" s="79">
        <f>M58+M59</f>
        <v>46121.53</v>
      </c>
    </row>
    <row r="58" spans="1:13" ht="31.5">
      <c r="A58" s="169" t="s">
        <v>29</v>
      </c>
      <c r="B58" s="169" t="s">
        <v>206</v>
      </c>
      <c r="C58" s="169" t="s">
        <v>33</v>
      </c>
      <c r="D58" s="18" t="s">
        <v>32</v>
      </c>
      <c r="E58" s="19" t="s">
        <v>132</v>
      </c>
      <c r="F58" s="22" t="s">
        <v>31</v>
      </c>
      <c r="G58" s="26">
        <v>29084</v>
      </c>
      <c r="H58" s="23" t="s">
        <v>211</v>
      </c>
      <c r="I58" s="26">
        <v>29084</v>
      </c>
      <c r="J58" s="26">
        <v>29084</v>
      </c>
      <c r="K58" s="14">
        <v>43011.07</v>
      </c>
      <c r="L58" s="14">
        <v>45897.42</v>
      </c>
      <c r="M58" s="14">
        <v>45981.57</v>
      </c>
    </row>
    <row r="59" spans="1:13">
      <c r="A59" s="170"/>
      <c r="B59" s="170"/>
      <c r="C59" s="170"/>
      <c r="D59" s="18" t="s">
        <v>294</v>
      </c>
      <c r="E59" s="22" t="s">
        <v>10</v>
      </c>
      <c r="F59" s="22" t="s">
        <v>10</v>
      </c>
      <c r="G59" s="26" t="s">
        <v>10</v>
      </c>
      <c r="H59" s="23" t="s">
        <v>10</v>
      </c>
      <c r="I59" s="26" t="s">
        <v>10</v>
      </c>
      <c r="J59" s="26" t="s">
        <v>10</v>
      </c>
      <c r="K59" s="14">
        <f>43026.22-K58</f>
        <v>15.150000000001455</v>
      </c>
      <c r="L59" s="14">
        <f>45974.13-L58</f>
        <v>76.709999999999127</v>
      </c>
      <c r="M59" s="14">
        <f>46121.53-M58</f>
        <v>139.95999999999913</v>
      </c>
    </row>
    <row r="60" spans="1:13">
      <c r="A60" s="80" t="s">
        <v>29</v>
      </c>
      <c r="B60" s="80" t="s">
        <v>208</v>
      </c>
      <c r="C60" s="80" t="s">
        <v>10</v>
      </c>
      <c r="D60" s="86" t="s">
        <v>207</v>
      </c>
      <c r="E60" s="78" t="s">
        <v>15</v>
      </c>
      <c r="F60" s="83" t="s">
        <v>13</v>
      </c>
      <c r="G60" s="149">
        <f>G61+G62+G63+G64+G65+G66</f>
        <v>18</v>
      </c>
      <c r="H60" s="80" t="s">
        <v>10</v>
      </c>
      <c r="I60" s="149">
        <f>I61+I62+I63+I64+I65+I66</f>
        <v>2</v>
      </c>
      <c r="J60" s="149">
        <f>J61+J62+J63+J64+J65+J66</f>
        <v>1</v>
      </c>
      <c r="K60" s="88">
        <f>K61+K62+K63+K64+K65+K66</f>
        <v>67510.149999999994</v>
      </c>
      <c r="L60" s="88">
        <f t="shared" ref="L60:M60" si="14">L61+L62+L63+L64+L65+L66</f>
        <v>63787.23</v>
      </c>
      <c r="M60" s="88">
        <f t="shared" si="14"/>
        <v>600</v>
      </c>
    </row>
    <row r="61" spans="1:13" ht="78.75">
      <c r="A61" s="163" t="s">
        <v>29</v>
      </c>
      <c r="B61" s="163" t="s">
        <v>208</v>
      </c>
      <c r="C61" s="163" t="s">
        <v>33</v>
      </c>
      <c r="D61" s="29" t="s">
        <v>209</v>
      </c>
      <c r="E61" s="15" t="s">
        <v>15</v>
      </c>
      <c r="F61" s="13" t="s">
        <v>13</v>
      </c>
      <c r="G61" s="13">
        <v>1</v>
      </c>
      <c r="H61" s="11" t="s">
        <v>211</v>
      </c>
      <c r="I61" s="61" t="s">
        <v>99</v>
      </c>
      <c r="J61" s="47" t="s">
        <v>99</v>
      </c>
      <c r="K61" s="14">
        <v>66390.149999999994</v>
      </c>
      <c r="L61" s="14">
        <v>0</v>
      </c>
      <c r="M61" s="14">
        <v>0</v>
      </c>
    </row>
    <row r="62" spans="1:13" ht="31.5">
      <c r="A62" s="164"/>
      <c r="B62" s="164"/>
      <c r="C62" s="164"/>
      <c r="D62" s="29" t="s">
        <v>113</v>
      </c>
      <c r="E62" s="15" t="s">
        <v>213</v>
      </c>
      <c r="F62" s="13" t="s">
        <v>13</v>
      </c>
      <c r="G62" s="13">
        <v>2</v>
      </c>
      <c r="H62" s="11" t="s">
        <v>211</v>
      </c>
      <c r="I62" s="52" t="s">
        <v>99</v>
      </c>
      <c r="J62" s="67" t="s">
        <v>99</v>
      </c>
      <c r="K62" s="14">
        <v>580</v>
      </c>
      <c r="L62" s="14">
        <v>0</v>
      </c>
      <c r="M62" s="14">
        <v>0</v>
      </c>
    </row>
    <row r="63" spans="1:13" ht="31.5">
      <c r="A63" s="164"/>
      <c r="B63" s="164"/>
      <c r="C63" s="164"/>
      <c r="D63" s="29" t="s">
        <v>210</v>
      </c>
      <c r="E63" s="15" t="s">
        <v>15</v>
      </c>
      <c r="F63" s="13" t="s">
        <v>13</v>
      </c>
      <c r="G63" s="37">
        <v>1</v>
      </c>
      <c r="H63" s="11" t="s">
        <v>211</v>
      </c>
      <c r="I63" s="36" t="s">
        <v>99</v>
      </c>
      <c r="J63" s="36" t="s">
        <v>99</v>
      </c>
      <c r="K63" s="14">
        <v>540</v>
      </c>
      <c r="L63" s="14">
        <v>0</v>
      </c>
      <c r="M63" s="14">
        <v>0</v>
      </c>
    </row>
    <row r="64" spans="1:13">
      <c r="A64" s="164"/>
      <c r="B64" s="164"/>
      <c r="C64" s="164"/>
      <c r="D64" s="41" t="s">
        <v>156</v>
      </c>
      <c r="E64" s="15" t="s">
        <v>15</v>
      </c>
      <c r="F64" s="13" t="s">
        <v>13</v>
      </c>
      <c r="G64" s="61" t="s">
        <v>99</v>
      </c>
      <c r="H64" s="11" t="s">
        <v>10</v>
      </c>
      <c r="I64" s="61" t="s">
        <v>65</v>
      </c>
      <c r="J64" s="44">
        <v>0</v>
      </c>
      <c r="K64" s="14">
        <v>0</v>
      </c>
      <c r="L64" s="14">
        <v>63187.23</v>
      </c>
      <c r="M64" s="14">
        <v>0</v>
      </c>
    </row>
    <row r="65" spans="1:14">
      <c r="A65" s="164"/>
      <c r="B65" s="164"/>
      <c r="C65" s="164"/>
      <c r="D65" s="7" t="s">
        <v>107</v>
      </c>
      <c r="E65" s="15" t="s">
        <v>117</v>
      </c>
      <c r="F65" s="13" t="s">
        <v>13</v>
      </c>
      <c r="G65" s="61" t="s">
        <v>121</v>
      </c>
      <c r="H65" s="11" t="s">
        <v>10</v>
      </c>
      <c r="I65" s="61" t="s">
        <v>65</v>
      </c>
      <c r="J65" s="57" t="s">
        <v>99</v>
      </c>
      <c r="K65" s="14">
        <v>0</v>
      </c>
      <c r="L65" s="14">
        <v>600</v>
      </c>
      <c r="M65" s="14">
        <v>0</v>
      </c>
    </row>
    <row r="66" spans="1:14">
      <c r="A66" s="165"/>
      <c r="B66" s="165"/>
      <c r="C66" s="165"/>
      <c r="D66" s="7" t="s">
        <v>212</v>
      </c>
      <c r="E66" s="15" t="s">
        <v>214</v>
      </c>
      <c r="F66" s="13" t="s">
        <v>13</v>
      </c>
      <c r="G66" s="61" t="s">
        <v>90</v>
      </c>
      <c r="H66" s="11" t="s">
        <v>10</v>
      </c>
      <c r="I66" s="57" t="s">
        <v>99</v>
      </c>
      <c r="J66" s="61" t="s">
        <v>65</v>
      </c>
      <c r="K66" s="14">
        <v>0</v>
      </c>
      <c r="L66" s="14">
        <v>0</v>
      </c>
      <c r="M66" s="14">
        <v>600</v>
      </c>
    </row>
    <row r="67" spans="1:14" ht="47.25">
      <c r="A67" s="156" t="s">
        <v>36</v>
      </c>
      <c r="B67" s="155" t="s">
        <v>10</v>
      </c>
      <c r="C67" s="154" t="s">
        <v>10</v>
      </c>
      <c r="D67" s="20" t="s">
        <v>37</v>
      </c>
      <c r="E67" s="74" t="s">
        <v>102</v>
      </c>
      <c r="F67" s="89" t="s">
        <v>13</v>
      </c>
      <c r="G67" s="89">
        <v>47</v>
      </c>
      <c r="H67" s="66" t="s">
        <v>211</v>
      </c>
      <c r="I67" s="66" t="s">
        <v>215</v>
      </c>
      <c r="J67" s="66" t="s">
        <v>216</v>
      </c>
      <c r="K67" s="153">
        <f>K68+K72</f>
        <v>58634.710000000006</v>
      </c>
      <c r="L67" s="111">
        <f t="shared" ref="L67:M67" si="15">L68+L72</f>
        <v>46444.23000000001</v>
      </c>
      <c r="M67" s="111">
        <f t="shared" si="15"/>
        <v>46501.09</v>
      </c>
    </row>
    <row r="68" spans="1:14" ht="47.25">
      <c r="A68" s="80" t="s">
        <v>36</v>
      </c>
      <c r="B68" s="80" t="s">
        <v>219</v>
      </c>
      <c r="C68" s="80" t="s">
        <v>10</v>
      </c>
      <c r="D68" s="86" t="s">
        <v>37</v>
      </c>
      <c r="E68" s="78" t="s">
        <v>119</v>
      </c>
      <c r="F68" s="83" t="s">
        <v>13</v>
      </c>
      <c r="G68" s="80" t="s">
        <v>86</v>
      </c>
      <c r="H68" s="80" t="s">
        <v>10</v>
      </c>
      <c r="I68" s="80" t="s">
        <v>86</v>
      </c>
      <c r="J68" s="80" t="s">
        <v>86</v>
      </c>
      <c r="K68" s="80">
        <f>K69+K70+K71</f>
        <v>40735.740000000005</v>
      </c>
      <c r="L68" s="88">
        <f t="shared" ref="L68:M68" si="16">L69+L70+L71</f>
        <v>43144.23000000001</v>
      </c>
      <c r="M68" s="88">
        <f t="shared" si="16"/>
        <v>43201.09</v>
      </c>
    </row>
    <row r="69" spans="1:14" ht="47.25">
      <c r="A69" s="8" t="s">
        <v>36</v>
      </c>
      <c r="B69" s="159" t="s">
        <v>219</v>
      </c>
      <c r="C69" s="8" t="s">
        <v>38</v>
      </c>
      <c r="D69" s="15" t="s">
        <v>39</v>
      </c>
      <c r="E69" s="9" t="s">
        <v>102</v>
      </c>
      <c r="F69" s="4" t="s">
        <v>13</v>
      </c>
      <c r="G69" s="4">
        <v>30</v>
      </c>
      <c r="H69" s="8" t="s">
        <v>211</v>
      </c>
      <c r="I69" s="8" t="s">
        <v>103</v>
      </c>
      <c r="J69" s="8" t="s">
        <v>103</v>
      </c>
      <c r="K69" s="119">
        <v>23038.17</v>
      </c>
      <c r="L69" s="119">
        <v>23038.17</v>
      </c>
      <c r="M69" s="119">
        <v>23038.17</v>
      </c>
      <c r="N69" s="16"/>
    </row>
    <row r="70" spans="1:14" ht="47.25">
      <c r="A70" s="8" t="s">
        <v>36</v>
      </c>
      <c r="B70" s="159" t="s">
        <v>219</v>
      </c>
      <c r="C70" s="8" t="s">
        <v>40</v>
      </c>
      <c r="D70" s="15" t="s">
        <v>39</v>
      </c>
      <c r="E70" s="9" t="s">
        <v>102</v>
      </c>
      <c r="F70" s="4" t="s">
        <v>13</v>
      </c>
      <c r="G70" s="4">
        <v>17</v>
      </c>
      <c r="H70" s="8" t="s">
        <v>211</v>
      </c>
      <c r="I70" s="8" t="s">
        <v>217</v>
      </c>
      <c r="J70" s="8" t="s">
        <v>218</v>
      </c>
      <c r="K70" s="119">
        <v>17684.41</v>
      </c>
      <c r="L70" s="119">
        <v>17684.41</v>
      </c>
      <c r="M70" s="119">
        <v>17684.41</v>
      </c>
      <c r="N70" s="16"/>
    </row>
    <row r="71" spans="1:14">
      <c r="A71" s="8" t="s">
        <v>36</v>
      </c>
      <c r="B71" s="159">
        <v>68511</v>
      </c>
      <c r="C71" s="8" t="s">
        <v>10</v>
      </c>
      <c r="D71" s="15" t="s">
        <v>294</v>
      </c>
      <c r="E71" s="62" t="s">
        <v>10</v>
      </c>
      <c r="F71" s="62" t="s">
        <v>10</v>
      </c>
      <c r="G71" s="62" t="s">
        <v>10</v>
      </c>
      <c r="H71" s="8" t="s">
        <v>10</v>
      </c>
      <c r="I71" s="8" t="s">
        <v>10</v>
      </c>
      <c r="J71" s="8" t="s">
        <v>10</v>
      </c>
      <c r="K71" s="119">
        <f>40735.74-K69-K70</f>
        <v>13.159999999999854</v>
      </c>
      <c r="L71" s="119">
        <f>43144.23-L69-L70</f>
        <v>2421.6500000000051</v>
      </c>
      <c r="M71" s="119">
        <f>43201.09-M69-M70</f>
        <v>2478.5099999999984</v>
      </c>
      <c r="N71" s="16"/>
    </row>
    <row r="72" spans="1:14" ht="31.5">
      <c r="A72" s="80" t="s">
        <v>36</v>
      </c>
      <c r="B72" s="80" t="s">
        <v>220</v>
      </c>
      <c r="C72" s="80" t="s">
        <v>10</v>
      </c>
      <c r="D72" s="86" t="s">
        <v>221</v>
      </c>
      <c r="E72" s="78" t="s">
        <v>119</v>
      </c>
      <c r="F72" s="83" t="s">
        <v>13</v>
      </c>
      <c r="G72" s="80" t="s">
        <v>86</v>
      </c>
      <c r="H72" s="80" t="s">
        <v>10</v>
      </c>
      <c r="I72" s="80" t="s">
        <v>86</v>
      </c>
      <c r="J72" s="80" t="s">
        <v>86</v>
      </c>
      <c r="K72" s="88">
        <f>K73+K74+K75+K76+K77+K78+K79</f>
        <v>17898.97</v>
      </c>
      <c r="L72" s="88">
        <f>L73+L74+L75+L76+L77</f>
        <v>3300</v>
      </c>
      <c r="M72" s="88">
        <f>M73+M74+M75+M76+M77+M79</f>
        <v>3300</v>
      </c>
    </row>
    <row r="73" spans="1:14" ht="31.5">
      <c r="A73" s="169" t="s">
        <v>36</v>
      </c>
      <c r="B73" s="169" t="s">
        <v>220</v>
      </c>
      <c r="C73" s="169" t="s">
        <v>38</v>
      </c>
      <c r="D73" s="19" t="s">
        <v>260</v>
      </c>
      <c r="E73" s="19" t="s">
        <v>262</v>
      </c>
      <c r="F73" s="22" t="s">
        <v>13</v>
      </c>
      <c r="G73" s="22">
        <v>1</v>
      </c>
      <c r="H73" s="23" t="s">
        <v>211</v>
      </c>
      <c r="I73" s="23" t="s">
        <v>99</v>
      </c>
      <c r="J73" s="23" t="s">
        <v>99</v>
      </c>
      <c r="K73" s="14">
        <v>325</v>
      </c>
      <c r="L73" s="14">
        <v>0</v>
      </c>
      <c r="M73" s="14">
        <v>0</v>
      </c>
    </row>
    <row r="74" spans="1:14" ht="31.5">
      <c r="A74" s="171"/>
      <c r="B74" s="171"/>
      <c r="C74" s="171"/>
      <c r="D74" s="19" t="s">
        <v>261</v>
      </c>
      <c r="E74" s="19" t="s">
        <v>15</v>
      </c>
      <c r="F74" s="22" t="s">
        <v>13</v>
      </c>
      <c r="G74" s="22">
        <v>1</v>
      </c>
      <c r="H74" s="23" t="s">
        <v>211</v>
      </c>
      <c r="I74" s="23" t="s">
        <v>99</v>
      </c>
      <c r="J74" s="23" t="s">
        <v>99</v>
      </c>
      <c r="K74" s="14">
        <f>2182-325</f>
        <v>1857</v>
      </c>
      <c r="L74" s="14">
        <v>0</v>
      </c>
      <c r="M74" s="14">
        <v>0</v>
      </c>
    </row>
    <row r="75" spans="1:14" ht="78.75">
      <c r="A75" s="171"/>
      <c r="B75" s="171"/>
      <c r="C75" s="171"/>
      <c r="D75" s="19" t="s">
        <v>222</v>
      </c>
      <c r="E75" s="15" t="s">
        <v>15</v>
      </c>
      <c r="F75" s="13" t="s">
        <v>13</v>
      </c>
      <c r="G75" s="13">
        <v>1</v>
      </c>
      <c r="H75" s="8" t="s">
        <v>211</v>
      </c>
      <c r="I75" s="11" t="s">
        <v>99</v>
      </c>
      <c r="J75" s="11" t="s">
        <v>99</v>
      </c>
      <c r="K75" s="14">
        <v>1500</v>
      </c>
      <c r="L75" s="14">
        <v>0</v>
      </c>
      <c r="M75" s="14">
        <v>0</v>
      </c>
    </row>
    <row r="76" spans="1:14">
      <c r="A76" s="171"/>
      <c r="B76" s="171"/>
      <c r="C76" s="171"/>
      <c r="D76" s="19" t="s">
        <v>112</v>
      </c>
      <c r="E76" s="15" t="s">
        <v>15</v>
      </c>
      <c r="F76" s="13" t="s">
        <v>13</v>
      </c>
      <c r="G76" s="13">
        <v>0</v>
      </c>
      <c r="H76" s="8" t="s">
        <v>10</v>
      </c>
      <c r="I76" s="11" t="s">
        <v>65</v>
      </c>
      <c r="J76" s="11" t="s">
        <v>65</v>
      </c>
      <c r="K76" s="14">
        <v>0</v>
      </c>
      <c r="L76" s="14">
        <v>2650</v>
      </c>
      <c r="M76" s="14">
        <v>2650</v>
      </c>
    </row>
    <row r="77" spans="1:14">
      <c r="A77" s="170"/>
      <c r="B77" s="170"/>
      <c r="C77" s="170"/>
      <c r="D77" s="19" t="s">
        <v>107</v>
      </c>
      <c r="E77" s="15" t="s">
        <v>117</v>
      </c>
      <c r="F77" s="13" t="s">
        <v>13</v>
      </c>
      <c r="G77" s="22">
        <v>0</v>
      </c>
      <c r="H77" s="8" t="s">
        <v>10</v>
      </c>
      <c r="I77" s="11" t="s">
        <v>121</v>
      </c>
      <c r="J77" s="11" t="s">
        <v>99</v>
      </c>
      <c r="K77" s="14">
        <v>0</v>
      </c>
      <c r="L77" s="14">
        <v>650</v>
      </c>
      <c r="M77" s="14">
        <v>0</v>
      </c>
    </row>
    <row r="78" spans="1:14" ht="63">
      <c r="A78" s="163" t="s">
        <v>36</v>
      </c>
      <c r="B78" s="169" t="s">
        <v>220</v>
      </c>
      <c r="C78" s="163" t="s">
        <v>40</v>
      </c>
      <c r="D78" s="19" t="s">
        <v>223</v>
      </c>
      <c r="E78" s="15" t="s">
        <v>15</v>
      </c>
      <c r="F78" s="13" t="s">
        <v>13</v>
      </c>
      <c r="G78" s="22">
        <v>1</v>
      </c>
      <c r="H78" s="8" t="s">
        <v>211</v>
      </c>
      <c r="I78" s="11" t="s">
        <v>99</v>
      </c>
      <c r="J78" s="11" t="s">
        <v>99</v>
      </c>
      <c r="K78" s="14">
        <v>14216.97</v>
      </c>
      <c r="L78" s="14">
        <v>0</v>
      </c>
      <c r="M78" s="14">
        <v>0</v>
      </c>
    </row>
    <row r="79" spans="1:14">
      <c r="A79" s="165"/>
      <c r="B79" s="170"/>
      <c r="C79" s="165"/>
      <c r="D79" s="19" t="s">
        <v>107</v>
      </c>
      <c r="E79" s="15" t="s">
        <v>117</v>
      </c>
      <c r="F79" s="22" t="s">
        <v>13</v>
      </c>
      <c r="G79" s="22">
        <v>0</v>
      </c>
      <c r="H79" s="8" t="s">
        <v>10</v>
      </c>
      <c r="I79" s="45">
        <v>0</v>
      </c>
      <c r="J79" s="59">
        <v>8</v>
      </c>
      <c r="K79" s="14">
        <v>0</v>
      </c>
      <c r="L79" s="14">
        <v>0</v>
      </c>
      <c r="M79" s="14">
        <v>650</v>
      </c>
    </row>
    <row r="80" spans="1:14" ht="47.25">
      <c r="A80" s="182" t="s">
        <v>41</v>
      </c>
      <c r="B80" s="182" t="s">
        <v>10</v>
      </c>
      <c r="C80" s="182" t="s">
        <v>10</v>
      </c>
      <c r="D80" s="185" t="s">
        <v>42</v>
      </c>
      <c r="E80" s="74" t="s">
        <v>142</v>
      </c>
      <c r="F80" s="89" t="s">
        <v>13</v>
      </c>
      <c r="G80" s="89">
        <v>51</v>
      </c>
      <c r="H80" s="66" t="s">
        <v>211</v>
      </c>
      <c r="I80" s="89">
        <v>51</v>
      </c>
      <c r="J80" s="89">
        <v>51</v>
      </c>
      <c r="K80" s="213">
        <f>K83</f>
        <v>21846.120000000003</v>
      </c>
      <c r="L80" s="213">
        <f t="shared" ref="L80:M80" si="17">L83</f>
        <v>21846.120000000003</v>
      </c>
      <c r="M80" s="213">
        <f t="shared" si="17"/>
        <v>21846.120000000003</v>
      </c>
    </row>
    <row r="81" spans="1:13" ht="31.5">
      <c r="A81" s="183"/>
      <c r="B81" s="183"/>
      <c r="C81" s="183"/>
      <c r="D81" s="186"/>
      <c r="E81" s="92" t="s">
        <v>127</v>
      </c>
      <c r="F81" s="93" t="s">
        <v>317</v>
      </c>
      <c r="G81" s="94" t="s">
        <v>263</v>
      </c>
      <c r="H81" s="66" t="s">
        <v>211</v>
      </c>
      <c r="I81" s="94" t="s">
        <v>263</v>
      </c>
      <c r="J81" s="94" t="s">
        <v>263</v>
      </c>
      <c r="K81" s="214"/>
      <c r="L81" s="214"/>
      <c r="M81" s="214"/>
    </row>
    <row r="82" spans="1:13" ht="31.5">
      <c r="A82" s="184"/>
      <c r="B82" s="184"/>
      <c r="C82" s="184"/>
      <c r="D82" s="187"/>
      <c r="E82" s="92" t="s">
        <v>282</v>
      </c>
      <c r="F82" s="93" t="s">
        <v>13</v>
      </c>
      <c r="G82" s="94">
        <v>3</v>
      </c>
      <c r="H82" s="66" t="s">
        <v>211</v>
      </c>
      <c r="I82" s="94">
        <v>3</v>
      </c>
      <c r="J82" s="94">
        <v>3</v>
      </c>
      <c r="K82" s="215"/>
      <c r="L82" s="215"/>
      <c r="M82" s="215"/>
    </row>
    <row r="83" spans="1:13">
      <c r="A83" s="80" t="s">
        <v>41</v>
      </c>
      <c r="B83" s="80" t="s">
        <v>224</v>
      </c>
      <c r="C83" s="80" t="s">
        <v>10</v>
      </c>
      <c r="D83" s="86" t="s">
        <v>225</v>
      </c>
      <c r="E83" s="78" t="s">
        <v>119</v>
      </c>
      <c r="F83" s="83" t="s">
        <v>13</v>
      </c>
      <c r="G83" s="80" t="s">
        <v>83</v>
      </c>
      <c r="H83" s="80" t="s">
        <v>10</v>
      </c>
      <c r="I83" s="80" t="s">
        <v>83</v>
      </c>
      <c r="J83" s="80" t="s">
        <v>83</v>
      </c>
      <c r="K83" s="88">
        <f>SUM(K84:K121)</f>
        <v>21846.120000000003</v>
      </c>
      <c r="L83" s="88">
        <f>SUM(L84:L121)</f>
        <v>21846.120000000003</v>
      </c>
      <c r="M83" s="88">
        <f>SUM(M84:M121)</f>
        <v>21846.120000000003</v>
      </c>
    </row>
    <row r="84" spans="1:13" ht="47.25">
      <c r="A84" s="166" t="s">
        <v>41</v>
      </c>
      <c r="B84" s="166" t="s">
        <v>224</v>
      </c>
      <c r="C84" s="166" t="s">
        <v>18</v>
      </c>
      <c r="D84" s="27" t="s">
        <v>44</v>
      </c>
      <c r="E84" s="9" t="s">
        <v>116</v>
      </c>
      <c r="F84" s="32" t="s">
        <v>13</v>
      </c>
      <c r="G84" s="26">
        <v>2</v>
      </c>
      <c r="H84" s="23" t="s">
        <v>211</v>
      </c>
      <c r="I84" s="23" t="s">
        <v>86</v>
      </c>
      <c r="J84" s="23" t="s">
        <v>86</v>
      </c>
      <c r="K84" s="14">
        <v>1210</v>
      </c>
      <c r="L84" s="14">
        <v>1210</v>
      </c>
      <c r="M84" s="14">
        <v>1210</v>
      </c>
    </row>
    <row r="85" spans="1:13" ht="47.25">
      <c r="A85" s="167"/>
      <c r="B85" s="167"/>
      <c r="C85" s="167"/>
      <c r="D85" s="27" t="s">
        <v>108</v>
      </c>
      <c r="E85" s="9" t="s">
        <v>116</v>
      </c>
      <c r="F85" s="32" t="s">
        <v>13</v>
      </c>
      <c r="G85" s="26">
        <v>1</v>
      </c>
      <c r="H85" s="23" t="s">
        <v>211</v>
      </c>
      <c r="I85" s="23" t="s">
        <v>65</v>
      </c>
      <c r="J85" s="23" t="s">
        <v>65</v>
      </c>
      <c r="K85" s="14">
        <v>160</v>
      </c>
      <c r="L85" s="14">
        <v>160</v>
      </c>
      <c r="M85" s="14">
        <v>160</v>
      </c>
    </row>
    <row r="86" spans="1:13" ht="31.5">
      <c r="A86" s="167"/>
      <c r="B86" s="167"/>
      <c r="C86" s="167"/>
      <c r="D86" s="28" t="s">
        <v>320</v>
      </c>
      <c r="E86" s="15" t="s">
        <v>43</v>
      </c>
      <c r="F86" s="13" t="s">
        <v>31</v>
      </c>
      <c r="G86" s="26" t="s">
        <v>45</v>
      </c>
      <c r="H86" s="8" t="s">
        <v>275</v>
      </c>
      <c r="I86" s="11" t="s">
        <v>46</v>
      </c>
      <c r="J86" s="11" t="s">
        <v>46</v>
      </c>
      <c r="K86" s="14">
        <v>90</v>
      </c>
      <c r="L86" s="14">
        <v>90</v>
      </c>
      <c r="M86" s="14">
        <v>90</v>
      </c>
    </row>
    <row r="87" spans="1:13" ht="31.5">
      <c r="A87" s="167"/>
      <c r="B87" s="167"/>
      <c r="C87" s="167"/>
      <c r="D87" s="28" t="s">
        <v>47</v>
      </c>
      <c r="E87" s="15" t="s">
        <v>48</v>
      </c>
      <c r="F87" s="13" t="s">
        <v>31</v>
      </c>
      <c r="G87" s="26" t="s">
        <v>50</v>
      </c>
      <c r="H87" s="23" t="s">
        <v>274</v>
      </c>
      <c r="I87" s="11" t="s">
        <v>50</v>
      </c>
      <c r="J87" s="11" t="s">
        <v>50</v>
      </c>
      <c r="K87" s="14">
        <v>120</v>
      </c>
      <c r="L87" s="14">
        <v>120</v>
      </c>
      <c r="M87" s="14">
        <v>120</v>
      </c>
    </row>
    <row r="88" spans="1:13" ht="31.5">
      <c r="A88" s="167"/>
      <c r="B88" s="167"/>
      <c r="C88" s="167"/>
      <c r="D88" s="28" t="s">
        <v>51</v>
      </c>
      <c r="E88" s="15" t="s">
        <v>116</v>
      </c>
      <c r="F88" s="13" t="s">
        <v>13</v>
      </c>
      <c r="G88" s="26">
        <v>1</v>
      </c>
      <c r="H88" s="8" t="s">
        <v>228</v>
      </c>
      <c r="I88" s="11" t="s">
        <v>65</v>
      </c>
      <c r="J88" s="11" t="s">
        <v>65</v>
      </c>
      <c r="K88" s="14">
        <v>1619</v>
      </c>
      <c r="L88" s="14">
        <v>1619</v>
      </c>
      <c r="M88" s="14">
        <v>1619</v>
      </c>
    </row>
    <row r="89" spans="1:13" ht="31.5">
      <c r="A89" s="168"/>
      <c r="B89" s="168"/>
      <c r="C89" s="168"/>
      <c r="D89" s="28" t="s">
        <v>52</v>
      </c>
      <c r="E89" s="15" t="s">
        <v>48</v>
      </c>
      <c r="F89" s="13" t="s">
        <v>31</v>
      </c>
      <c r="G89" s="26" t="s">
        <v>53</v>
      </c>
      <c r="H89" s="8" t="s">
        <v>229</v>
      </c>
      <c r="I89" s="11" t="s">
        <v>49</v>
      </c>
      <c r="J89" s="11" t="s">
        <v>53</v>
      </c>
      <c r="K89" s="14">
        <v>120</v>
      </c>
      <c r="L89" s="14">
        <v>120</v>
      </c>
      <c r="M89" s="14">
        <v>120</v>
      </c>
    </row>
    <row r="90" spans="1:13" ht="47.25">
      <c r="A90" s="166" t="s">
        <v>41</v>
      </c>
      <c r="B90" s="166" t="s">
        <v>224</v>
      </c>
      <c r="C90" s="169" t="s">
        <v>40</v>
      </c>
      <c r="D90" s="18" t="s">
        <v>44</v>
      </c>
      <c r="E90" s="9" t="s">
        <v>43</v>
      </c>
      <c r="F90" s="4" t="s">
        <v>31</v>
      </c>
      <c r="G90" s="26">
        <v>30</v>
      </c>
      <c r="H90" s="8" t="s">
        <v>161</v>
      </c>
      <c r="I90" s="24">
        <v>30</v>
      </c>
      <c r="J90" s="24">
        <v>30</v>
      </c>
      <c r="K90" s="38">
        <v>250</v>
      </c>
      <c r="L90" s="38">
        <v>250</v>
      </c>
      <c r="M90" s="38">
        <v>250</v>
      </c>
    </row>
    <row r="91" spans="1:13" ht="47.25">
      <c r="A91" s="217"/>
      <c r="B91" s="217"/>
      <c r="C91" s="217"/>
      <c r="D91" s="1" t="s">
        <v>98</v>
      </c>
      <c r="E91" s="95" t="s">
        <v>43</v>
      </c>
      <c r="F91" s="96" t="s">
        <v>31</v>
      </c>
      <c r="G91" s="97">
        <v>50</v>
      </c>
      <c r="H91" s="68" t="s">
        <v>264</v>
      </c>
      <c r="I91" s="55">
        <v>50</v>
      </c>
      <c r="J91" s="55">
        <v>50</v>
      </c>
      <c r="K91" s="56">
        <v>30</v>
      </c>
      <c r="L91" s="56">
        <v>30</v>
      </c>
      <c r="M91" s="56">
        <v>30</v>
      </c>
    </row>
    <row r="92" spans="1:13" ht="31.5">
      <c r="A92" s="217"/>
      <c r="B92" s="217"/>
      <c r="C92" s="217"/>
      <c r="D92" s="7" t="s">
        <v>265</v>
      </c>
      <c r="E92" s="95" t="s">
        <v>43</v>
      </c>
      <c r="F92" s="96" t="s">
        <v>31</v>
      </c>
      <c r="G92" s="26">
        <v>5000</v>
      </c>
      <c r="H92" s="8" t="s">
        <v>266</v>
      </c>
      <c r="I92" s="24">
        <v>5000</v>
      </c>
      <c r="J92" s="24">
        <v>5000</v>
      </c>
      <c r="K92" s="38">
        <v>400</v>
      </c>
      <c r="L92" s="38">
        <v>400</v>
      </c>
      <c r="M92" s="38">
        <v>400</v>
      </c>
    </row>
    <row r="93" spans="1:13" ht="47.25">
      <c r="A93" s="217"/>
      <c r="B93" s="217"/>
      <c r="C93" s="217"/>
      <c r="D93" s="18" t="s">
        <v>267</v>
      </c>
      <c r="E93" s="95" t="s">
        <v>43</v>
      </c>
      <c r="F93" s="96" t="s">
        <v>31</v>
      </c>
      <c r="G93" s="26">
        <v>50</v>
      </c>
      <c r="H93" s="8" t="s">
        <v>268</v>
      </c>
      <c r="I93" s="24">
        <v>50</v>
      </c>
      <c r="J93" s="24">
        <v>50</v>
      </c>
      <c r="K93" s="38">
        <v>250</v>
      </c>
      <c r="L93" s="38">
        <v>250</v>
      </c>
      <c r="M93" s="38">
        <v>250</v>
      </c>
    </row>
    <row r="94" spans="1:13" ht="47.25">
      <c r="A94" s="217"/>
      <c r="B94" s="217"/>
      <c r="C94" s="217"/>
      <c r="D94" s="18" t="s">
        <v>269</v>
      </c>
      <c r="E94" s="95" t="s">
        <v>43</v>
      </c>
      <c r="F94" s="96" t="s">
        <v>31</v>
      </c>
      <c r="G94" s="26">
        <v>200</v>
      </c>
      <c r="H94" s="8" t="s">
        <v>270</v>
      </c>
      <c r="I94" s="24">
        <v>200</v>
      </c>
      <c r="J94" s="24">
        <v>200</v>
      </c>
      <c r="K94" s="38">
        <v>100</v>
      </c>
      <c r="L94" s="38">
        <v>100</v>
      </c>
      <c r="M94" s="38">
        <v>100</v>
      </c>
    </row>
    <row r="95" spans="1:13" ht="31.5">
      <c r="A95" s="217"/>
      <c r="B95" s="217"/>
      <c r="C95" s="217"/>
      <c r="D95" s="18" t="s">
        <v>146</v>
      </c>
      <c r="E95" s="95" t="s">
        <v>43</v>
      </c>
      <c r="F95" s="96" t="s">
        <v>31</v>
      </c>
      <c r="G95" s="26">
        <v>60</v>
      </c>
      <c r="H95" s="8" t="s">
        <v>270</v>
      </c>
      <c r="I95" s="24">
        <v>60</v>
      </c>
      <c r="J95" s="24">
        <v>60</v>
      </c>
      <c r="K95" s="38">
        <v>70</v>
      </c>
      <c r="L95" s="38">
        <v>70</v>
      </c>
      <c r="M95" s="38">
        <v>70</v>
      </c>
    </row>
    <row r="96" spans="1:13" ht="31.5">
      <c r="A96" s="217"/>
      <c r="B96" s="217"/>
      <c r="C96" s="217"/>
      <c r="D96" s="18" t="s">
        <v>149</v>
      </c>
      <c r="E96" s="95" t="s">
        <v>43</v>
      </c>
      <c r="F96" s="96" t="s">
        <v>31</v>
      </c>
      <c r="G96" s="26">
        <v>50</v>
      </c>
      <c r="H96" s="8" t="s">
        <v>271</v>
      </c>
      <c r="I96" s="24">
        <v>50</v>
      </c>
      <c r="J96" s="24">
        <v>50</v>
      </c>
      <c r="K96" s="38">
        <v>200</v>
      </c>
      <c r="L96" s="38">
        <v>200</v>
      </c>
      <c r="M96" s="38">
        <v>200</v>
      </c>
    </row>
    <row r="97" spans="1:13" ht="20.25" customHeight="1">
      <c r="A97" s="218"/>
      <c r="B97" s="218"/>
      <c r="C97" s="218"/>
      <c r="D97" s="18" t="s">
        <v>278</v>
      </c>
      <c r="E97" s="22" t="s">
        <v>10</v>
      </c>
      <c r="F97" s="22" t="s">
        <v>10</v>
      </c>
      <c r="G97" s="26" t="s">
        <v>10</v>
      </c>
      <c r="H97" s="23" t="s">
        <v>10</v>
      </c>
      <c r="I97" s="26" t="s">
        <v>10</v>
      </c>
      <c r="J97" s="26" t="s">
        <v>10</v>
      </c>
      <c r="K97" s="38">
        <v>426</v>
      </c>
      <c r="L97" s="38">
        <v>426</v>
      </c>
      <c r="M97" s="38">
        <v>426</v>
      </c>
    </row>
    <row r="98" spans="1:13" ht="31.5">
      <c r="A98" s="166" t="s">
        <v>41</v>
      </c>
      <c r="B98" s="166" t="s">
        <v>224</v>
      </c>
      <c r="C98" s="166" t="s">
        <v>38</v>
      </c>
      <c r="D98" s="18" t="s">
        <v>56</v>
      </c>
      <c r="E98" s="9" t="s">
        <v>43</v>
      </c>
      <c r="F98" s="4" t="s">
        <v>31</v>
      </c>
      <c r="G98" s="24">
        <v>50</v>
      </c>
      <c r="H98" s="8" t="s">
        <v>227</v>
      </c>
      <c r="I98" s="24">
        <v>50</v>
      </c>
      <c r="J98" s="24">
        <v>50</v>
      </c>
      <c r="K98" s="38">
        <v>200</v>
      </c>
      <c r="L98" s="38">
        <v>200</v>
      </c>
      <c r="M98" s="38">
        <v>200</v>
      </c>
    </row>
    <row r="99" spans="1:13" ht="47.25">
      <c r="A99" s="167"/>
      <c r="B99" s="167"/>
      <c r="C99" s="167"/>
      <c r="D99" s="18" t="s">
        <v>272</v>
      </c>
      <c r="E99" s="9" t="s">
        <v>43</v>
      </c>
      <c r="F99" s="62" t="s">
        <v>31</v>
      </c>
      <c r="G99" s="24">
        <v>50</v>
      </c>
      <c r="H99" s="8" t="s">
        <v>268</v>
      </c>
      <c r="I99" s="24">
        <v>50</v>
      </c>
      <c r="J99" s="24">
        <v>50</v>
      </c>
      <c r="K99" s="38">
        <v>200</v>
      </c>
      <c r="L99" s="38">
        <v>200</v>
      </c>
      <c r="M99" s="38">
        <v>200</v>
      </c>
    </row>
    <row r="100" spans="1:13" ht="31.5">
      <c r="A100" s="167"/>
      <c r="B100" s="167"/>
      <c r="C100" s="167"/>
      <c r="D100" s="1" t="s">
        <v>59</v>
      </c>
      <c r="E100" s="95" t="s">
        <v>43</v>
      </c>
      <c r="F100" s="96" t="s">
        <v>31</v>
      </c>
      <c r="G100" s="55">
        <f>10000-100</f>
        <v>9900</v>
      </c>
      <c r="H100" s="68" t="s">
        <v>268</v>
      </c>
      <c r="I100" s="55">
        <v>10000</v>
      </c>
      <c r="J100" s="55">
        <v>10000</v>
      </c>
      <c r="K100" s="56">
        <v>350</v>
      </c>
      <c r="L100" s="56">
        <v>350</v>
      </c>
      <c r="M100" s="38">
        <v>350</v>
      </c>
    </row>
    <row r="101" spans="1:13" ht="47.25">
      <c r="A101" s="167"/>
      <c r="B101" s="167"/>
      <c r="C101" s="167"/>
      <c r="D101" s="7" t="s">
        <v>273</v>
      </c>
      <c r="E101" s="9" t="s">
        <v>43</v>
      </c>
      <c r="F101" s="62" t="s">
        <v>31</v>
      </c>
      <c r="G101" s="24">
        <v>150</v>
      </c>
      <c r="H101" s="8" t="s">
        <v>271</v>
      </c>
      <c r="I101" s="24">
        <v>150</v>
      </c>
      <c r="J101" s="24">
        <v>150</v>
      </c>
      <c r="K101" s="38">
        <v>300</v>
      </c>
      <c r="L101" s="38">
        <v>300</v>
      </c>
      <c r="M101" s="38">
        <v>300</v>
      </c>
    </row>
    <row r="102" spans="1:13" ht="31.5">
      <c r="A102" s="167"/>
      <c r="B102" s="167"/>
      <c r="C102" s="167"/>
      <c r="D102" s="7" t="s">
        <v>147</v>
      </c>
      <c r="E102" s="9" t="s">
        <v>43</v>
      </c>
      <c r="F102" s="62" t="s">
        <v>31</v>
      </c>
      <c r="G102" s="24">
        <v>700</v>
      </c>
      <c r="H102" s="8" t="s">
        <v>229</v>
      </c>
      <c r="I102" s="24">
        <v>700</v>
      </c>
      <c r="J102" s="24">
        <v>700</v>
      </c>
      <c r="K102" s="38">
        <v>250</v>
      </c>
      <c r="L102" s="38">
        <v>250</v>
      </c>
      <c r="M102" s="38">
        <v>250</v>
      </c>
    </row>
    <row r="103" spans="1:13" ht="31.5">
      <c r="A103" s="167"/>
      <c r="B103" s="167"/>
      <c r="C103" s="167"/>
      <c r="D103" s="76" t="s">
        <v>148</v>
      </c>
      <c r="E103" s="9" t="s">
        <v>43</v>
      </c>
      <c r="F103" s="62" t="s">
        <v>31</v>
      </c>
      <c r="G103" s="24">
        <v>50</v>
      </c>
      <c r="H103" s="8" t="s">
        <v>271</v>
      </c>
      <c r="I103" s="24">
        <v>50</v>
      </c>
      <c r="J103" s="24">
        <v>50</v>
      </c>
      <c r="K103" s="38">
        <v>100</v>
      </c>
      <c r="L103" s="38">
        <v>100</v>
      </c>
      <c r="M103" s="38">
        <v>100</v>
      </c>
    </row>
    <row r="104" spans="1:13" ht="63">
      <c r="A104" s="167"/>
      <c r="B104" s="167"/>
      <c r="C104" s="167"/>
      <c r="D104" s="18" t="s">
        <v>310</v>
      </c>
      <c r="E104" s="9" t="s">
        <v>43</v>
      </c>
      <c r="F104" s="62" t="s">
        <v>31</v>
      </c>
      <c r="G104" s="55">
        <v>100</v>
      </c>
      <c r="H104" s="68" t="s">
        <v>226</v>
      </c>
      <c r="I104" s="55" t="s">
        <v>10</v>
      </c>
      <c r="J104" s="55" t="s">
        <v>10</v>
      </c>
      <c r="K104" s="56">
        <v>200</v>
      </c>
      <c r="L104" s="56">
        <v>0</v>
      </c>
      <c r="M104" s="56">
        <v>0</v>
      </c>
    </row>
    <row r="105" spans="1:13" ht="63">
      <c r="A105" s="167"/>
      <c r="B105" s="167"/>
      <c r="C105" s="167"/>
      <c r="D105" s="98" t="s">
        <v>311</v>
      </c>
      <c r="E105" s="9" t="s">
        <v>43</v>
      </c>
      <c r="F105" s="62" t="s">
        <v>31</v>
      </c>
      <c r="G105" s="55">
        <v>799</v>
      </c>
      <c r="H105" s="68" t="s">
        <v>313</v>
      </c>
      <c r="I105" s="55" t="s">
        <v>10</v>
      </c>
      <c r="J105" s="55" t="s">
        <v>10</v>
      </c>
      <c r="K105" s="56">
        <v>145</v>
      </c>
      <c r="L105" s="56">
        <v>0</v>
      </c>
      <c r="M105" s="56">
        <v>0</v>
      </c>
    </row>
    <row r="106" spans="1:13" ht="78.75">
      <c r="A106" s="167"/>
      <c r="B106" s="167"/>
      <c r="C106" s="167"/>
      <c r="D106" s="98" t="s">
        <v>312</v>
      </c>
      <c r="E106" s="9" t="s">
        <v>43</v>
      </c>
      <c r="F106" s="62" t="s">
        <v>31</v>
      </c>
      <c r="G106" s="55">
        <v>150</v>
      </c>
      <c r="H106" s="68" t="s">
        <v>313</v>
      </c>
      <c r="I106" s="55" t="s">
        <v>10</v>
      </c>
      <c r="J106" s="55" t="s">
        <v>10</v>
      </c>
      <c r="K106" s="56">
        <v>400</v>
      </c>
      <c r="L106" s="56">
        <v>0</v>
      </c>
      <c r="M106" s="56">
        <v>0</v>
      </c>
    </row>
    <row r="107" spans="1:13">
      <c r="A107" s="168"/>
      <c r="B107" s="168"/>
      <c r="C107" s="168"/>
      <c r="D107" s="98" t="s">
        <v>278</v>
      </c>
      <c r="E107" s="62" t="s">
        <v>10</v>
      </c>
      <c r="F107" s="62" t="s">
        <v>10</v>
      </c>
      <c r="G107" s="24" t="s">
        <v>10</v>
      </c>
      <c r="H107" s="8" t="s">
        <v>10</v>
      </c>
      <c r="I107" s="24" t="s">
        <v>10</v>
      </c>
      <c r="J107" s="24" t="s">
        <v>10</v>
      </c>
      <c r="K107" s="38">
        <f>795-K104-K105-K106</f>
        <v>50</v>
      </c>
      <c r="L107" s="38">
        <v>795</v>
      </c>
      <c r="M107" s="38">
        <v>795</v>
      </c>
    </row>
    <row r="108" spans="1:13" ht="31.5">
      <c r="A108" s="166" t="s">
        <v>41</v>
      </c>
      <c r="B108" s="166" t="s">
        <v>224</v>
      </c>
      <c r="C108" s="166" t="s">
        <v>33</v>
      </c>
      <c r="D108" s="30" t="s">
        <v>158</v>
      </c>
      <c r="E108" s="29" t="s">
        <v>43</v>
      </c>
      <c r="F108" s="53" t="s">
        <v>31</v>
      </c>
      <c r="G108" s="53">
        <v>799</v>
      </c>
      <c r="H108" s="54" t="s">
        <v>228</v>
      </c>
      <c r="I108" s="55">
        <v>799</v>
      </c>
      <c r="J108" s="55" t="s">
        <v>122</v>
      </c>
      <c r="K108" s="56">
        <v>385</v>
      </c>
      <c r="L108" s="56">
        <v>385</v>
      </c>
      <c r="M108" s="56">
        <v>385</v>
      </c>
    </row>
    <row r="109" spans="1:13" ht="47.25">
      <c r="A109" s="167"/>
      <c r="B109" s="167"/>
      <c r="C109" s="167"/>
      <c r="D109" s="27" t="s">
        <v>54</v>
      </c>
      <c r="E109" s="9" t="s">
        <v>43</v>
      </c>
      <c r="F109" s="4" t="s">
        <v>31</v>
      </c>
      <c r="G109" s="24">
        <v>799</v>
      </c>
      <c r="H109" s="8" t="s">
        <v>275</v>
      </c>
      <c r="I109" s="24" t="s">
        <v>122</v>
      </c>
      <c r="J109" s="24" t="s">
        <v>122</v>
      </c>
      <c r="K109" s="38">
        <v>480.13</v>
      </c>
      <c r="L109" s="38">
        <v>480.13</v>
      </c>
      <c r="M109" s="38">
        <v>480.13</v>
      </c>
    </row>
    <row r="110" spans="1:13" ht="47.25">
      <c r="A110" s="167"/>
      <c r="B110" s="167"/>
      <c r="C110" s="167"/>
      <c r="D110" s="27" t="s">
        <v>55</v>
      </c>
      <c r="E110" s="9" t="s">
        <v>43</v>
      </c>
      <c r="F110" s="4" t="s">
        <v>31</v>
      </c>
      <c r="G110" s="24">
        <v>799</v>
      </c>
      <c r="H110" s="8" t="s">
        <v>227</v>
      </c>
      <c r="I110" s="24" t="s">
        <v>122</v>
      </c>
      <c r="J110" s="24" t="s">
        <v>122</v>
      </c>
      <c r="K110" s="38">
        <v>350</v>
      </c>
      <c r="L110" s="38">
        <v>350</v>
      </c>
      <c r="M110" s="38">
        <v>350</v>
      </c>
    </row>
    <row r="111" spans="1:13" ht="47.25">
      <c r="A111" s="167"/>
      <c r="B111" s="167"/>
      <c r="C111" s="167"/>
      <c r="D111" s="28" t="s">
        <v>57</v>
      </c>
      <c r="E111" s="15" t="s">
        <v>43</v>
      </c>
      <c r="F111" s="13" t="s">
        <v>31</v>
      </c>
      <c r="G111" s="24">
        <v>2553</v>
      </c>
      <c r="H111" s="8" t="s">
        <v>288</v>
      </c>
      <c r="I111" s="24" t="s">
        <v>123</v>
      </c>
      <c r="J111" s="24" t="s">
        <v>123</v>
      </c>
      <c r="K111" s="38">
        <v>300</v>
      </c>
      <c r="L111" s="38">
        <v>300</v>
      </c>
      <c r="M111" s="38">
        <v>300</v>
      </c>
    </row>
    <row r="112" spans="1:13" ht="31.5">
      <c r="A112" s="167"/>
      <c r="B112" s="167"/>
      <c r="C112" s="167"/>
      <c r="D112" s="28" t="s">
        <v>135</v>
      </c>
      <c r="E112" s="15" t="s">
        <v>43</v>
      </c>
      <c r="F112" s="13" t="s">
        <v>31</v>
      </c>
      <c r="G112" s="26">
        <v>799</v>
      </c>
      <c r="H112" s="23" t="s">
        <v>230</v>
      </c>
      <c r="I112" s="24">
        <v>799</v>
      </c>
      <c r="J112" s="24">
        <v>799</v>
      </c>
      <c r="K112" s="38">
        <v>250</v>
      </c>
      <c r="L112" s="38">
        <v>250</v>
      </c>
      <c r="M112" s="38">
        <v>250</v>
      </c>
    </row>
    <row r="113" spans="1:14" ht="31.5">
      <c r="A113" s="167"/>
      <c r="B113" s="167"/>
      <c r="C113" s="167"/>
      <c r="D113" s="28" t="s">
        <v>136</v>
      </c>
      <c r="E113" s="15" t="s">
        <v>43</v>
      </c>
      <c r="F113" s="13" t="s">
        <v>31</v>
      </c>
      <c r="G113" s="24">
        <v>4161</v>
      </c>
      <c r="H113" s="23" t="s">
        <v>287</v>
      </c>
      <c r="I113" s="24">
        <v>4161</v>
      </c>
      <c r="J113" s="24">
        <v>4161</v>
      </c>
      <c r="K113" s="38">
        <v>200</v>
      </c>
      <c r="L113" s="38">
        <v>200</v>
      </c>
      <c r="M113" s="38">
        <v>200</v>
      </c>
    </row>
    <row r="114" spans="1:14" ht="37.5" customHeight="1">
      <c r="A114" s="167"/>
      <c r="B114" s="167"/>
      <c r="C114" s="167"/>
      <c r="D114" s="15" t="s">
        <v>58</v>
      </c>
      <c r="E114" s="15" t="s">
        <v>43</v>
      </c>
      <c r="F114" s="13" t="s">
        <v>31</v>
      </c>
      <c r="G114" s="24">
        <v>30000</v>
      </c>
      <c r="H114" s="8" t="s">
        <v>230</v>
      </c>
      <c r="I114" s="24">
        <v>30000</v>
      </c>
      <c r="J114" s="24">
        <v>30000</v>
      </c>
      <c r="K114" s="38">
        <v>815</v>
      </c>
      <c r="L114" s="38">
        <v>815</v>
      </c>
      <c r="M114" s="38">
        <v>815</v>
      </c>
    </row>
    <row r="115" spans="1:14" ht="34.5" customHeight="1">
      <c r="A115" s="167"/>
      <c r="B115" s="167"/>
      <c r="C115" s="167"/>
      <c r="D115" s="28" t="s">
        <v>51</v>
      </c>
      <c r="E115" s="15" t="s">
        <v>43</v>
      </c>
      <c r="F115" s="13" t="s">
        <v>31</v>
      </c>
      <c r="G115" s="24">
        <v>43000</v>
      </c>
      <c r="H115" s="8" t="s">
        <v>228</v>
      </c>
      <c r="I115" s="24">
        <v>43000</v>
      </c>
      <c r="J115" s="24">
        <v>43000</v>
      </c>
      <c r="K115" s="38">
        <v>10000</v>
      </c>
      <c r="L115" s="38">
        <v>10000</v>
      </c>
      <c r="M115" s="38">
        <v>10000</v>
      </c>
    </row>
    <row r="116" spans="1:14" ht="33.75" customHeight="1">
      <c r="A116" s="167"/>
      <c r="B116" s="167"/>
      <c r="C116" s="167"/>
      <c r="D116" s="27" t="s">
        <v>60</v>
      </c>
      <c r="E116" s="9" t="s">
        <v>43</v>
      </c>
      <c r="F116" s="46" t="s">
        <v>31</v>
      </c>
      <c r="G116" s="21">
        <v>4000</v>
      </c>
      <c r="H116" s="8" t="s">
        <v>286</v>
      </c>
      <c r="I116" s="24">
        <v>4000</v>
      </c>
      <c r="J116" s="24" t="s">
        <v>61</v>
      </c>
      <c r="K116" s="38">
        <v>260</v>
      </c>
      <c r="L116" s="38">
        <v>260</v>
      </c>
      <c r="M116" s="38">
        <v>260</v>
      </c>
    </row>
    <row r="117" spans="1:14" ht="78.75">
      <c r="A117" s="167"/>
      <c r="B117" s="167"/>
      <c r="C117" s="167"/>
      <c r="D117" s="27" t="s">
        <v>276</v>
      </c>
      <c r="E117" s="9" t="s">
        <v>43</v>
      </c>
      <c r="F117" s="62" t="s">
        <v>31</v>
      </c>
      <c r="G117" s="21">
        <v>799</v>
      </c>
      <c r="H117" s="8" t="s">
        <v>274</v>
      </c>
      <c r="I117" s="24">
        <v>799</v>
      </c>
      <c r="J117" s="24">
        <v>799</v>
      </c>
      <c r="K117" s="38">
        <v>123.5</v>
      </c>
      <c r="L117" s="38">
        <v>123.5</v>
      </c>
      <c r="M117" s="38">
        <v>123.5</v>
      </c>
    </row>
    <row r="118" spans="1:14" ht="31.5">
      <c r="A118" s="168"/>
      <c r="B118" s="168"/>
      <c r="C118" s="168"/>
      <c r="D118" s="41" t="s">
        <v>277</v>
      </c>
      <c r="E118" s="41" t="s">
        <v>131</v>
      </c>
      <c r="F118" s="40" t="s">
        <v>31</v>
      </c>
      <c r="G118" s="40">
        <v>2</v>
      </c>
      <c r="H118" s="8" t="s">
        <v>279</v>
      </c>
      <c r="I118" s="40">
        <v>2</v>
      </c>
      <c r="J118" s="40">
        <v>2</v>
      </c>
      <c r="K118" s="38">
        <v>1192.49</v>
      </c>
      <c r="L118" s="38">
        <v>1192.49</v>
      </c>
      <c r="M118" s="38">
        <v>1192.49</v>
      </c>
    </row>
    <row r="119" spans="1:14" ht="31.5">
      <c r="A119" s="166" t="s">
        <v>41</v>
      </c>
      <c r="B119" s="166" t="s">
        <v>224</v>
      </c>
      <c r="C119" s="166" t="s">
        <v>14</v>
      </c>
      <c r="D119" s="27" t="s">
        <v>97</v>
      </c>
      <c r="E119" s="41" t="s">
        <v>284</v>
      </c>
      <c r="F119" s="62" t="s">
        <v>13</v>
      </c>
      <c r="G119" s="62">
        <v>1</v>
      </c>
      <c r="H119" s="8" t="s">
        <v>279</v>
      </c>
      <c r="I119" s="62">
        <v>1</v>
      </c>
      <c r="J119" s="62">
        <v>1</v>
      </c>
      <c r="K119" s="38">
        <v>150</v>
      </c>
      <c r="L119" s="38">
        <v>150</v>
      </c>
      <c r="M119" s="38">
        <v>150</v>
      </c>
    </row>
    <row r="120" spans="1:14" ht="47.25">
      <c r="A120" s="168"/>
      <c r="B120" s="168"/>
      <c r="C120" s="168"/>
      <c r="D120" s="27" t="s">
        <v>281</v>
      </c>
      <c r="E120" s="41" t="s">
        <v>283</v>
      </c>
      <c r="F120" s="62" t="s">
        <v>13</v>
      </c>
      <c r="G120" s="62">
        <v>1</v>
      </c>
      <c r="H120" s="8" t="s">
        <v>285</v>
      </c>
      <c r="I120" s="62">
        <v>1</v>
      </c>
      <c r="J120" s="62">
        <v>1</v>
      </c>
      <c r="K120" s="38">
        <v>50</v>
      </c>
      <c r="L120" s="38">
        <v>50</v>
      </c>
      <c r="M120" s="38">
        <v>50</v>
      </c>
    </row>
    <row r="121" spans="1:14" ht="31.5">
      <c r="A121" s="8" t="s">
        <v>41</v>
      </c>
      <c r="B121" s="159" t="s">
        <v>224</v>
      </c>
      <c r="C121" s="8" t="s">
        <v>28</v>
      </c>
      <c r="D121" s="27" t="s">
        <v>280</v>
      </c>
      <c r="E121" s="41" t="s">
        <v>283</v>
      </c>
      <c r="F121" s="62" t="s">
        <v>13</v>
      </c>
      <c r="G121" s="62">
        <v>1</v>
      </c>
      <c r="H121" s="8" t="s">
        <v>279</v>
      </c>
      <c r="I121" s="62">
        <v>1</v>
      </c>
      <c r="J121" s="62">
        <v>1</v>
      </c>
      <c r="K121" s="38">
        <v>50</v>
      </c>
      <c r="L121" s="38">
        <v>50</v>
      </c>
      <c r="M121" s="38">
        <v>50</v>
      </c>
    </row>
    <row r="122" spans="1:14" ht="168" customHeight="1">
      <c r="A122" s="182" t="s">
        <v>62</v>
      </c>
      <c r="B122" s="182" t="s">
        <v>10</v>
      </c>
      <c r="C122" s="182" t="s">
        <v>10</v>
      </c>
      <c r="D122" s="185" t="s">
        <v>63</v>
      </c>
      <c r="E122" s="101" t="s">
        <v>139</v>
      </c>
      <c r="F122" s="84" t="s">
        <v>13</v>
      </c>
      <c r="G122" s="91">
        <v>27</v>
      </c>
      <c r="H122" s="85" t="s">
        <v>279</v>
      </c>
      <c r="I122" s="85" t="s">
        <v>289</v>
      </c>
      <c r="J122" s="85" t="s">
        <v>290</v>
      </c>
      <c r="K122" s="174">
        <f>K125</f>
        <v>22331.05</v>
      </c>
      <c r="L122" s="174">
        <f t="shared" ref="L122:M122" si="18">L125</f>
        <v>17988</v>
      </c>
      <c r="M122" s="174">
        <f t="shared" si="18"/>
        <v>10488</v>
      </c>
    </row>
    <row r="123" spans="1:14" ht="47.25">
      <c r="A123" s="183"/>
      <c r="B123" s="183"/>
      <c r="C123" s="183"/>
      <c r="D123" s="186"/>
      <c r="E123" s="102" t="s">
        <v>137</v>
      </c>
      <c r="F123" s="84" t="s">
        <v>13</v>
      </c>
      <c r="G123" s="84">
        <v>3</v>
      </c>
      <c r="H123" s="85" t="s">
        <v>279</v>
      </c>
      <c r="I123" s="84">
        <v>3</v>
      </c>
      <c r="J123" s="84">
        <v>3</v>
      </c>
      <c r="K123" s="175"/>
      <c r="L123" s="175"/>
      <c r="M123" s="175"/>
    </row>
    <row r="124" spans="1:14" ht="94.5">
      <c r="A124" s="184"/>
      <c r="B124" s="184"/>
      <c r="C124" s="184"/>
      <c r="D124" s="187"/>
      <c r="E124" s="103" t="s">
        <v>140</v>
      </c>
      <c r="F124" s="84" t="s">
        <v>105</v>
      </c>
      <c r="G124" s="90">
        <v>40750.5</v>
      </c>
      <c r="H124" s="85" t="s">
        <v>211</v>
      </c>
      <c r="I124" s="90">
        <v>40750.5</v>
      </c>
      <c r="J124" s="90">
        <v>40750.5</v>
      </c>
      <c r="K124" s="176"/>
      <c r="L124" s="176"/>
      <c r="M124" s="176"/>
    </row>
    <row r="125" spans="1:14" ht="47.25">
      <c r="A125" s="148" t="s">
        <v>62</v>
      </c>
      <c r="B125" s="160" t="s">
        <v>293</v>
      </c>
      <c r="C125" s="148" t="s">
        <v>10</v>
      </c>
      <c r="D125" s="99" t="s">
        <v>292</v>
      </c>
      <c r="E125" s="145" t="s">
        <v>128</v>
      </c>
      <c r="F125" s="146" t="s">
        <v>144</v>
      </c>
      <c r="G125" s="147" t="s">
        <v>323</v>
      </c>
      <c r="H125" s="148" t="s">
        <v>211</v>
      </c>
      <c r="I125" s="148" t="s">
        <v>324</v>
      </c>
      <c r="J125" s="148" t="s">
        <v>291</v>
      </c>
      <c r="K125" s="100">
        <f>SUM(K126:K129)</f>
        <v>22331.05</v>
      </c>
      <c r="L125" s="100">
        <f t="shared" ref="L125:M125" si="19">SUM(L126:L129)</f>
        <v>17988</v>
      </c>
      <c r="M125" s="100">
        <f t="shared" si="19"/>
        <v>10488</v>
      </c>
    </row>
    <row r="126" spans="1:14" ht="94.5">
      <c r="A126" s="166" t="s">
        <v>62</v>
      </c>
      <c r="B126" s="166" t="s">
        <v>293</v>
      </c>
      <c r="C126" s="166" t="s">
        <v>124</v>
      </c>
      <c r="D126" s="9" t="s">
        <v>138</v>
      </c>
      <c r="E126" s="19" t="s">
        <v>106</v>
      </c>
      <c r="F126" s="4" t="s">
        <v>105</v>
      </c>
      <c r="G126" s="10">
        <v>40750.5</v>
      </c>
      <c r="H126" s="8" t="s">
        <v>211</v>
      </c>
      <c r="I126" s="14">
        <v>40750.5</v>
      </c>
      <c r="J126" s="14">
        <v>40750.5</v>
      </c>
      <c r="K126" s="14">
        <v>6453.08</v>
      </c>
      <c r="L126" s="14">
        <v>5388</v>
      </c>
      <c r="M126" s="14">
        <v>5388</v>
      </c>
    </row>
    <row r="127" spans="1:14" ht="171.75" customHeight="1">
      <c r="A127" s="167"/>
      <c r="B127" s="167"/>
      <c r="C127" s="167"/>
      <c r="D127" s="9" t="s">
        <v>159</v>
      </c>
      <c r="E127" s="9" t="s">
        <v>15</v>
      </c>
      <c r="F127" s="42" t="s">
        <v>13</v>
      </c>
      <c r="G127" s="26">
        <v>21</v>
      </c>
      <c r="H127" s="8" t="s">
        <v>211</v>
      </c>
      <c r="I127" s="26">
        <v>27</v>
      </c>
      <c r="J127" s="26">
        <v>24</v>
      </c>
      <c r="K127" s="14">
        <v>4627.97</v>
      </c>
      <c r="L127" s="14">
        <v>4100</v>
      </c>
      <c r="M127" s="14">
        <v>4100</v>
      </c>
      <c r="N127" s="16"/>
    </row>
    <row r="128" spans="1:14" ht="47.25">
      <c r="A128" s="168"/>
      <c r="B128" s="168"/>
      <c r="C128" s="168"/>
      <c r="D128" s="9" t="s">
        <v>157</v>
      </c>
      <c r="E128" s="9" t="s">
        <v>15</v>
      </c>
      <c r="F128" s="42" t="s">
        <v>13</v>
      </c>
      <c r="G128" s="21">
        <v>3</v>
      </c>
      <c r="H128" s="8" t="s">
        <v>211</v>
      </c>
      <c r="I128" s="152">
        <v>3</v>
      </c>
      <c r="J128" s="152">
        <v>3</v>
      </c>
      <c r="K128" s="14">
        <v>1000</v>
      </c>
      <c r="L128" s="14">
        <v>1000</v>
      </c>
      <c r="M128" s="14">
        <v>1000</v>
      </c>
    </row>
    <row r="129" spans="1:13" ht="31.5">
      <c r="A129" s="23" t="s">
        <v>62</v>
      </c>
      <c r="B129" s="161">
        <v>68711</v>
      </c>
      <c r="C129" s="162" t="s">
        <v>326</v>
      </c>
      <c r="D129" s="9" t="s">
        <v>64</v>
      </c>
      <c r="E129" s="9" t="s">
        <v>141</v>
      </c>
      <c r="F129" s="42" t="s">
        <v>13</v>
      </c>
      <c r="G129" s="26">
        <v>6</v>
      </c>
      <c r="H129" s="8" t="s">
        <v>35</v>
      </c>
      <c r="I129" s="24">
        <v>7</v>
      </c>
      <c r="J129" s="24">
        <v>0</v>
      </c>
      <c r="K129" s="14">
        <v>10250</v>
      </c>
      <c r="L129" s="14">
        <v>7500</v>
      </c>
      <c r="M129" s="14">
        <v>0</v>
      </c>
    </row>
    <row r="130" spans="1:13" ht="47.25">
      <c r="A130" s="182" t="s">
        <v>66</v>
      </c>
      <c r="B130" s="182" t="s">
        <v>10</v>
      </c>
      <c r="C130" s="182" t="s">
        <v>10</v>
      </c>
      <c r="D130" s="185" t="s">
        <v>67</v>
      </c>
      <c r="E130" s="101" t="s">
        <v>143</v>
      </c>
      <c r="F130" s="85" t="s">
        <v>68</v>
      </c>
      <c r="G130" s="118">
        <v>6.1</v>
      </c>
      <c r="H130" s="85" t="s">
        <v>211</v>
      </c>
      <c r="I130" s="118">
        <v>6.1</v>
      </c>
      <c r="J130" s="118">
        <v>6.1</v>
      </c>
      <c r="K130" s="173">
        <f>K132+K154+K143</f>
        <v>372197.1</v>
      </c>
      <c r="L130" s="173">
        <f>L132+L154+L143</f>
        <v>381735.70999999996</v>
      </c>
      <c r="M130" s="173">
        <f>M132+M154+M143</f>
        <v>388248.08999999997</v>
      </c>
    </row>
    <row r="131" spans="1:13" ht="63">
      <c r="A131" s="191"/>
      <c r="B131" s="191"/>
      <c r="C131" s="191"/>
      <c r="D131" s="216"/>
      <c r="E131" s="103" t="s">
        <v>237</v>
      </c>
      <c r="F131" s="84" t="s">
        <v>13</v>
      </c>
      <c r="G131" s="91">
        <v>5</v>
      </c>
      <c r="H131" s="85" t="s">
        <v>211</v>
      </c>
      <c r="I131" s="91">
        <v>5</v>
      </c>
      <c r="J131" s="91">
        <v>5</v>
      </c>
      <c r="K131" s="177"/>
      <c r="L131" s="177"/>
      <c r="M131" s="177"/>
    </row>
    <row r="132" spans="1:13" ht="31.5">
      <c r="A132" s="107" t="s">
        <v>66</v>
      </c>
      <c r="B132" s="108" t="s">
        <v>232</v>
      </c>
      <c r="C132" s="107" t="s">
        <v>10</v>
      </c>
      <c r="D132" s="127" t="s">
        <v>231</v>
      </c>
      <c r="E132" s="144" t="s">
        <v>69</v>
      </c>
      <c r="F132" s="146" t="s">
        <v>68</v>
      </c>
      <c r="G132" s="109">
        <f>G133+G134+G135+G136+G137+G138+G139+G140+G141</f>
        <v>2.5840000000000001</v>
      </c>
      <c r="H132" s="107" t="s">
        <v>10</v>
      </c>
      <c r="I132" s="109">
        <f>I133+I134+I135+I136+I137+I138+I139+I140+I141</f>
        <v>2.5840000000000001</v>
      </c>
      <c r="J132" s="109">
        <f>J133+J134+J135+J136+J137+J138+J139+J140+J141</f>
        <v>2.5840000000000001</v>
      </c>
      <c r="K132" s="100">
        <f>SUM(K133:K142)</f>
        <v>45885.760000000002</v>
      </c>
      <c r="L132" s="100">
        <f t="shared" ref="L132:M132" si="20">SUM(L133:L142)</f>
        <v>47708.239999999991</v>
      </c>
      <c r="M132" s="100">
        <f t="shared" si="20"/>
        <v>48808.239999999991</v>
      </c>
    </row>
    <row r="133" spans="1:13" ht="31.5">
      <c r="A133" s="8" t="s">
        <v>66</v>
      </c>
      <c r="B133" s="159" t="s">
        <v>232</v>
      </c>
      <c r="C133" s="8" t="s">
        <v>70</v>
      </c>
      <c r="D133" s="27" t="s">
        <v>71</v>
      </c>
      <c r="E133" s="27" t="s">
        <v>69</v>
      </c>
      <c r="F133" s="4" t="s">
        <v>68</v>
      </c>
      <c r="G133" s="126">
        <f>538/1000</f>
        <v>0.53800000000000003</v>
      </c>
      <c r="H133" s="8" t="s">
        <v>161</v>
      </c>
      <c r="I133" s="126">
        <f>538/1000</f>
        <v>0.53800000000000003</v>
      </c>
      <c r="J133" s="126">
        <f>538/1000</f>
        <v>0.53800000000000003</v>
      </c>
      <c r="K133" s="14">
        <v>6050</v>
      </c>
      <c r="L133" s="14">
        <v>6050</v>
      </c>
      <c r="M133" s="14">
        <v>6050</v>
      </c>
    </row>
    <row r="134" spans="1:13" ht="31.5">
      <c r="A134" s="8" t="s">
        <v>66</v>
      </c>
      <c r="B134" s="159" t="s">
        <v>232</v>
      </c>
      <c r="C134" s="8" t="s">
        <v>72</v>
      </c>
      <c r="D134" s="27" t="s">
        <v>71</v>
      </c>
      <c r="E134" s="27" t="s">
        <v>69</v>
      </c>
      <c r="F134" s="4" t="s">
        <v>68</v>
      </c>
      <c r="G134" s="126">
        <f>(37+160)/1000</f>
        <v>0.19700000000000001</v>
      </c>
      <c r="H134" s="8" t="s">
        <v>161</v>
      </c>
      <c r="I134" s="126">
        <f>(37+160)/1000</f>
        <v>0.19700000000000001</v>
      </c>
      <c r="J134" s="126">
        <f>(37+160)/1000</f>
        <v>0.19700000000000001</v>
      </c>
      <c r="K134" s="14">
        <v>2450.5</v>
      </c>
      <c r="L134" s="14">
        <v>2449.3000000000002</v>
      </c>
      <c r="M134" s="14">
        <v>2449.2199999999998</v>
      </c>
    </row>
    <row r="135" spans="1:13" ht="31.5">
      <c r="A135" s="8" t="s">
        <v>66</v>
      </c>
      <c r="B135" s="159" t="s">
        <v>232</v>
      </c>
      <c r="C135" s="8" t="s">
        <v>73</v>
      </c>
      <c r="D135" s="27" t="s">
        <v>71</v>
      </c>
      <c r="E135" s="27" t="s">
        <v>69</v>
      </c>
      <c r="F135" s="4" t="s">
        <v>68</v>
      </c>
      <c r="G135" s="126">
        <f>(46+14)/1000</f>
        <v>0.06</v>
      </c>
      <c r="H135" s="8" t="s">
        <v>161</v>
      </c>
      <c r="I135" s="126">
        <f>(46+14)/1000</f>
        <v>0.06</v>
      </c>
      <c r="J135" s="126">
        <f>(46+14)/1000</f>
        <v>0.06</v>
      </c>
      <c r="K135" s="14">
        <v>3126.75</v>
      </c>
      <c r="L135" s="14">
        <v>3124.83</v>
      </c>
      <c r="M135" s="14">
        <v>3124.83</v>
      </c>
    </row>
    <row r="136" spans="1:13" ht="47.25">
      <c r="A136" s="8" t="s">
        <v>66</v>
      </c>
      <c r="B136" s="159" t="s">
        <v>232</v>
      </c>
      <c r="C136" s="8" t="s">
        <v>74</v>
      </c>
      <c r="D136" s="27" t="s">
        <v>71</v>
      </c>
      <c r="E136" s="27" t="s">
        <v>69</v>
      </c>
      <c r="F136" s="4" t="s">
        <v>68</v>
      </c>
      <c r="G136" s="126">
        <f>71/1000</f>
        <v>7.0999999999999994E-2</v>
      </c>
      <c r="H136" s="8" t="s">
        <v>161</v>
      </c>
      <c r="I136" s="126">
        <f>71/1000</f>
        <v>7.0999999999999994E-2</v>
      </c>
      <c r="J136" s="126">
        <f>71/1000</f>
        <v>7.0999999999999994E-2</v>
      </c>
      <c r="K136" s="14">
        <v>4901.0600000000004</v>
      </c>
      <c r="L136" s="14">
        <v>5300</v>
      </c>
      <c r="M136" s="14">
        <v>5300</v>
      </c>
    </row>
    <row r="137" spans="1:13" ht="47.25">
      <c r="A137" s="8" t="s">
        <v>66</v>
      </c>
      <c r="B137" s="159" t="s">
        <v>232</v>
      </c>
      <c r="C137" s="8" t="s">
        <v>75</v>
      </c>
      <c r="D137" s="27" t="s">
        <v>71</v>
      </c>
      <c r="E137" s="27" t="s">
        <v>69</v>
      </c>
      <c r="F137" s="4" t="s">
        <v>68</v>
      </c>
      <c r="G137" s="126">
        <f>(42+346+25)/1000</f>
        <v>0.41299999999999998</v>
      </c>
      <c r="H137" s="8" t="s">
        <v>161</v>
      </c>
      <c r="I137" s="126">
        <f>(42+346+25)/1000</f>
        <v>0.41299999999999998</v>
      </c>
      <c r="J137" s="126">
        <f>(42+346+25)/1000</f>
        <v>0.41299999999999998</v>
      </c>
      <c r="K137" s="14">
        <v>2472.02</v>
      </c>
      <c r="L137" s="14">
        <v>2470.56</v>
      </c>
      <c r="M137" s="14">
        <v>2470.2399999999998</v>
      </c>
    </row>
    <row r="138" spans="1:13" ht="31.5">
      <c r="A138" s="8" t="s">
        <v>66</v>
      </c>
      <c r="B138" s="159" t="s">
        <v>232</v>
      </c>
      <c r="C138" s="8" t="s">
        <v>76</v>
      </c>
      <c r="D138" s="27" t="s">
        <v>71</v>
      </c>
      <c r="E138" s="27" t="s">
        <v>69</v>
      </c>
      <c r="F138" s="4" t="s">
        <v>68</v>
      </c>
      <c r="G138" s="126">
        <v>0.1</v>
      </c>
      <c r="H138" s="8" t="s">
        <v>161</v>
      </c>
      <c r="I138" s="126">
        <v>0.1</v>
      </c>
      <c r="J138" s="126">
        <v>0.1</v>
      </c>
      <c r="K138" s="14">
        <v>1569.45</v>
      </c>
      <c r="L138" s="14">
        <v>1469.37</v>
      </c>
      <c r="M138" s="14">
        <v>1469.3</v>
      </c>
    </row>
    <row r="139" spans="1:13" ht="31.5">
      <c r="A139" s="8" t="s">
        <v>66</v>
      </c>
      <c r="B139" s="159" t="s">
        <v>232</v>
      </c>
      <c r="C139" s="8" t="s">
        <v>77</v>
      </c>
      <c r="D139" s="27" t="s">
        <v>71</v>
      </c>
      <c r="E139" s="27" t="s">
        <v>69</v>
      </c>
      <c r="F139" s="4" t="s">
        <v>68</v>
      </c>
      <c r="G139" s="126">
        <f>(137+55)/1000</f>
        <v>0.192</v>
      </c>
      <c r="H139" s="8" t="s">
        <v>161</v>
      </c>
      <c r="I139" s="126">
        <f>(137+55)/1000</f>
        <v>0.192</v>
      </c>
      <c r="J139" s="126">
        <f>(137+55)/1000</f>
        <v>0.192</v>
      </c>
      <c r="K139" s="14">
        <v>9500</v>
      </c>
      <c r="L139" s="14">
        <v>9500</v>
      </c>
      <c r="M139" s="14">
        <v>9500</v>
      </c>
    </row>
    <row r="140" spans="1:13" ht="31.5">
      <c r="A140" s="8" t="s">
        <v>66</v>
      </c>
      <c r="B140" s="159" t="s">
        <v>232</v>
      </c>
      <c r="C140" s="8" t="s">
        <v>78</v>
      </c>
      <c r="D140" s="27" t="s">
        <v>71</v>
      </c>
      <c r="E140" s="27" t="s">
        <v>69</v>
      </c>
      <c r="F140" s="4" t="s">
        <v>68</v>
      </c>
      <c r="G140" s="126">
        <f>(90+423+70)/1000</f>
        <v>0.58299999999999996</v>
      </c>
      <c r="H140" s="8" t="s">
        <v>161</v>
      </c>
      <c r="I140" s="126">
        <f>(90+423+70)/1000</f>
        <v>0.58299999999999996</v>
      </c>
      <c r="J140" s="126">
        <f>(90+423+70)/1000</f>
        <v>0.58299999999999996</v>
      </c>
      <c r="K140" s="14">
        <v>1943.66</v>
      </c>
      <c r="L140" s="14">
        <v>2078.04</v>
      </c>
      <c r="M140" s="14">
        <v>1972.28</v>
      </c>
    </row>
    <row r="141" spans="1:13" ht="31.5">
      <c r="A141" s="8" t="s">
        <v>66</v>
      </c>
      <c r="B141" s="159" t="s">
        <v>232</v>
      </c>
      <c r="C141" s="8" t="s">
        <v>79</v>
      </c>
      <c r="D141" s="27" t="s">
        <v>71</v>
      </c>
      <c r="E141" s="27" t="s">
        <v>69</v>
      </c>
      <c r="F141" s="4" t="s">
        <v>68</v>
      </c>
      <c r="G141" s="126">
        <f>(193+212+25)/1000</f>
        <v>0.43</v>
      </c>
      <c r="H141" s="8" t="s">
        <v>161</v>
      </c>
      <c r="I141" s="126">
        <f>(193+212+25)/1000</f>
        <v>0.43</v>
      </c>
      <c r="J141" s="126">
        <f>(193+212+25)/1000</f>
        <v>0.43</v>
      </c>
      <c r="K141" s="14">
        <v>11800</v>
      </c>
      <c r="L141" s="14">
        <v>11800</v>
      </c>
      <c r="M141" s="14">
        <v>11400</v>
      </c>
    </row>
    <row r="142" spans="1:13">
      <c r="A142" s="8" t="s">
        <v>66</v>
      </c>
      <c r="B142" s="159" t="s">
        <v>232</v>
      </c>
      <c r="C142" s="8" t="s">
        <v>10</v>
      </c>
      <c r="D142" s="27" t="s">
        <v>294</v>
      </c>
      <c r="E142" s="120" t="s">
        <v>10</v>
      </c>
      <c r="F142" s="62" t="s">
        <v>10</v>
      </c>
      <c r="G142" s="25" t="s">
        <v>10</v>
      </c>
      <c r="H142" s="8" t="s">
        <v>10</v>
      </c>
      <c r="I142" s="25" t="s">
        <v>10</v>
      </c>
      <c r="J142" s="25" t="s">
        <v>10</v>
      </c>
      <c r="K142" s="14">
        <f>45885.76-K133-K134-K135-K136-K137-K138-K139-K140-K141</f>
        <v>2072.3199999999997</v>
      </c>
      <c r="L142" s="14">
        <f>47708.24-L133-L134-L135-L136-L137-L138-L139-L140-L141</f>
        <v>3466.1399999999921</v>
      </c>
      <c r="M142" s="14">
        <f>48808.24-M133-M134-M135-M136-M137-M138-M139-M140-M141</f>
        <v>5072.369999999999</v>
      </c>
    </row>
    <row r="143" spans="1:13" ht="47.25">
      <c r="A143" s="107" t="s">
        <v>66</v>
      </c>
      <c r="B143" s="108" t="s">
        <v>234</v>
      </c>
      <c r="C143" s="107" t="s">
        <v>10</v>
      </c>
      <c r="D143" s="99" t="s">
        <v>233</v>
      </c>
      <c r="E143" s="144" t="s">
        <v>69</v>
      </c>
      <c r="F143" s="146" t="s">
        <v>68</v>
      </c>
      <c r="G143" s="109">
        <f>G144+G145+G146+G147+G148+G149+G150+G151+G152</f>
        <v>3.4729999999999999</v>
      </c>
      <c r="H143" s="107" t="s">
        <v>10</v>
      </c>
      <c r="I143" s="109">
        <f>I144+I145+I146+I147+I148+I149+I150+I151+I152</f>
        <v>3.4729999999999999</v>
      </c>
      <c r="J143" s="109">
        <f>J144+J145+J146+J147+J148+J149+J150+J151+J152</f>
        <v>3.4729999999999999</v>
      </c>
      <c r="K143" s="100">
        <f>SUM(K144:K153)</f>
        <v>289539.32</v>
      </c>
      <c r="L143" s="100">
        <f t="shared" ref="L143:M143" si="21">SUM(L144:L153)</f>
        <v>293832.95999999996</v>
      </c>
      <c r="M143" s="100">
        <f t="shared" si="21"/>
        <v>298329.5</v>
      </c>
    </row>
    <row r="144" spans="1:13" ht="31.5">
      <c r="A144" s="8" t="s">
        <v>66</v>
      </c>
      <c r="B144" s="159" t="s">
        <v>234</v>
      </c>
      <c r="C144" s="5" t="s">
        <v>70</v>
      </c>
      <c r="D144" s="27" t="s">
        <v>71</v>
      </c>
      <c r="E144" s="27" t="s">
        <v>69</v>
      </c>
      <c r="F144" s="62" t="s">
        <v>68</v>
      </c>
      <c r="G144" s="125">
        <f>(75+72+30)/1000</f>
        <v>0.17699999999999999</v>
      </c>
      <c r="H144" s="8" t="s">
        <v>161</v>
      </c>
      <c r="I144" s="125">
        <f>(75+72+30)/1000</f>
        <v>0.17699999999999999</v>
      </c>
      <c r="J144" s="125">
        <f>(75+72+30)/1000</f>
        <v>0.17699999999999999</v>
      </c>
      <c r="K144" s="14">
        <v>53680.39</v>
      </c>
      <c r="L144" s="14">
        <v>53680.39</v>
      </c>
      <c r="M144" s="14">
        <v>53680.39</v>
      </c>
    </row>
    <row r="145" spans="1:15" ht="31.5">
      <c r="A145" s="8" t="s">
        <v>66</v>
      </c>
      <c r="B145" s="159" t="s">
        <v>234</v>
      </c>
      <c r="C145" s="5" t="s">
        <v>72</v>
      </c>
      <c r="D145" s="27" t="s">
        <v>71</v>
      </c>
      <c r="E145" s="27" t="s">
        <v>69</v>
      </c>
      <c r="F145" s="62" t="s">
        <v>68</v>
      </c>
      <c r="G145" s="125">
        <f>504/1000</f>
        <v>0.504</v>
      </c>
      <c r="H145" s="8" t="s">
        <v>161</v>
      </c>
      <c r="I145" s="125">
        <f>504/1000</f>
        <v>0.504</v>
      </c>
      <c r="J145" s="125">
        <f>504/1000</f>
        <v>0.504</v>
      </c>
      <c r="K145" s="14">
        <v>34212.43</v>
      </c>
      <c r="L145" s="14">
        <v>34213.629999999997</v>
      </c>
      <c r="M145" s="14">
        <v>34213.72</v>
      </c>
    </row>
    <row r="146" spans="1:15" ht="31.5">
      <c r="A146" s="8" t="s">
        <v>66</v>
      </c>
      <c r="B146" s="159" t="s">
        <v>10</v>
      </c>
      <c r="C146" s="5" t="s">
        <v>73</v>
      </c>
      <c r="D146" s="27" t="s">
        <v>71</v>
      </c>
      <c r="E146" s="27" t="s">
        <v>69</v>
      </c>
      <c r="F146" s="62" t="s">
        <v>68</v>
      </c>
      <c r="G146" s="125">
        <v>0.248</v>
      </c>
      <c r="H146" s="8" t="s">
        <v>211</v>
      </c>
      <c r="I146" s="125">
        <v>0.248</v>
      </c>
      <c r="J146" s="125">
        <v>0.248</v>
      </c>
      <c r="K146" s="14">
        <v>22104.49</v>
      </c>
      <c r="L146" s="14">
        <v>22106.41</v>
      </c>
      <c r="M146" s="14">
        <v>22106.41</v>
      </c>
    </row>
    <row r="147" spans="1:15" ht="47.25">
      <c r="A147" s="8" t="s">
        <v>66</v>
      </c>
      <c r="B147" s="159" t="s">
        <v>234</v>
      </c>
      <c r="C147" s="5" t="s">
        <v>74</v>
      </c>
      <c r="D147" s="27" t="s">
        <v>71</v>
      </c>
      <c r="E147" s="27" t="s">
        <v>69</v>
      </c>
      <c r="F147" s="62" t="s">
        <v>68</v>
      </c>
      <c r="G147" s="125">
        <f>383/1000</f>
        <v>0.38300000000000001</v>
      </c>
      <c r="H147" s="8" t="s">
        <v>161</v>
      </c>
      <c r="I147" s="125">
        <f>383/1000</f>
        <v>0.38300000000000001</v>
      </c>
      <c r="J147" s="125">
        <f>383/1000</f>
        <v>0.38300000000000001</v>
      </c>
      <c r="K147" s="14">
        <v>37406.85</v>
      </c>
      <c r="L147" s="14">
        <v>37007.910000000003</v>
      </c>
      <c r="M147" s="14">
        <v>37007.910000000003</v>
      </c>
    </row>
    <row r="148" spans="1:15" ht="47.25">
      <c r="A148" s="8" t="s">
        <v>66</v>
      </c>
      <c r="B148" s="159" t="s">
        <v>234</v>
      </c>
      <c r="C148" s="5" t="s">
        <v>75</v>
      </c>
      <c r="D148" s="27" t="s">
        <v>71</v>
      </c>
      <c r="E148" s="27" t="s">
        <v>69</v>
      </c>
      <c r="F148" s="62" t="s">
        <v>68</v>
      </c>
      <c r="G148" s="125">
        <f>(681+25)/1000</f>
        <v>0.70599999999999996</v>
      </c>
      <c r="H148" s="8" t="s">
        <v>161</v>
      </c>
      <c r="I148" s="125">
        <f>(681+25)/1000</f>
        <v>0.70599999999999996</v>
      </c>
      <c r="J148" s="125">
        <f>(681+25)/1000</f>
        <v>0.70599999999999996</v>
      </c>
      <c r="K148" s="14">
        <v>47331.93</v>
      </c>
      <c r="L148" s="14">
        <v>47333.38</v>
      </c>
      <c r="M148" s="14">
        <v>47333.7</v>
      </c>
    </row>
    <row r="149" spans="1:15" ht="31.5">
      <c r="A149" s="8" t="s">
        <v>66</v>
      </c>
      <c r="B149" s="159" t="s">
        <v>234</v>
      </c>
      <c r="C149" s="5" t="s">
        <v>76</v>
      </c>
      <c r="D149" s="27" t="s">
        <v>71</v>
      </c>
      <c r="E149" s="27" t="s">
        <v>69</v>
      </c>
      <c r="F149" s="62" t="s">
        <v>68</v>
      </c>
      <c r="G149" s="125">
        <f>82/1000</f>
        <v>8.2000000000000003E-2</v>
      </c>
      <c r="H149" s="8" t="s">
        <v>161</v>
      </c>
      <c r="I149" s="125">
        <f>82/1000</f>
        <v>8.2000000000000003E-2</v>
      </c>
      <c r="J149" s="125">
        <f>82/1000</f>
        <v>8.2000000000000003E-2</v>
      </c>
      <c r="K149" s="14">
        <v>9100.25</v>
      </c>
      <c r="L149" s="14">
        <v>9200.33</v>
      </c>
      <c r="M149" s="14">
        <v>9200.39</v>
      </c>
    </row>
    <row r="150" spans="1:15" ht="31.5">
      <c r="A150" s="8" t="s">
        <v>66</v>
      </c>
      <c r="B150" s="159" t="s">
        <v>234</v>
      </c>
      <c r="C150" s="5" t="s">
        <v>77</v>
      </c>
      <c r="D150" s="27" t="s">
        <v>71</v>
      </c>
      <c r="E150" s="27" t="s">
        <v>69</v>
      </c>
      <c r="F150" s="62" t="s">
        <v>68</v>
      </c>
      <c r="G150" s="125">
        <f>338/1000</f>
        <v>0.33800000000000002</v>
      </c>
      <c r="H150" s="8" t="s">
        <v>161</v>
      </c>
      <c r="I150" s="125">
        <f>338/1000</f>
        <v>0.33800000000000002</v>
      </c>
      <c r="J150" s="125">
        <f>338/1000</f>
        <v>0.33800000000000002</v>
      </c>
      <c r="K150" s="14">
        <v>27418.21</v>
      </c>
      <c r="L150" s="14">
        <v>27418.21</v>
      </c>
      <c r="M150" s="14">
        <v>27418.21</v>
      </c>
    </row>
    <row r="151" spans="1:15" ht="31.5">
      <c r="A151" s="8" t="s">
        <v>66</v>
      </c>
      <c r="B151" s="159" t="s">
        <v>234</v>
      </c>
      <c r="C151" s="5" t="s">
        <v>78</v>
      </c>
      <c r="D151" s="27" t="s">
        <v>71</v>
      </c>
      <c r="E151" s="27" t="s">
        <v>69</v>
      </c>
      <c r="F151" s="62" t="s">
        <v>68</v>
      </c>
      <c r="G151" s="125">
        <f>541/1000</f>
        <v>0.54100000000000004</v>
      </c>
      <c r="H151" s="8" t="s">
        <v>161</v>
      </c>
      <c r="I151" s="125">
        <f>541/1000</f>
        <v>0.54100000000000004</v>
      </c>
      <c r="J151" s="125">
        <f>541/1000</f>
        <v>0.54100000000000004</v>
      </c>
      <c r="K151" s="14">
        <v>21253.96</v>
      </c>
      <c r="L151" s="14">
        <v>21119.58</v>
      </c>
      <c r="M151" s="14">
        <v>21225.34</v>
      </c>
    </row>
    <row r="152" spans="1:15" ht="31.5">
      <c r="A152" s="8" t="s">
        <v>66</v>
      </c>
      <c r="B152" s="159" t="s">
        <v>234</v>
      </c>
      <c r="C152" s="5" t="s">
        <v>79</v>
      </c>
      <c r="D152" s="27" t="s">
        <v>71</v>
      </c>
      <c r="E152" s="27" t="s">
        <v>69</v>
      </c>
      <c r="F152" s="62" t="s">
        <v>68</v>
      </c>
      <c r="G152" s="125">
        <f>(469+25)/1000</f>
        <v>0.49399999999999999</v>
      </c>
      <c r="H152" s="8" t="s">
        <v>161</v>
      </c>
      <c r="I152" s="125">
        <f>(469+25)/1000</f>
        <v>0.49399999999999999</v>
      </c>
      <c r="J152" s="125">
        <f>(469+25)/1000</f>
        <v>0.49399999999999999</v>
      </c>
      <c r="K152" s="14">
        <v>35912.71</v>
      </c>
      <c r="L152" s="14">
        <v>35912.71</v>
      </c>
      <c r="M152" s="14">
        <v>36312.71</v>
      </c>
    </row>
    <row r="153" spans="1:15">
      <c r="A153" s="8">
        <v>8</v>
      </c>
      <c r="B153" s="159">
        <v>67312</v>
      </c>
      <c r="C153" s="5" t="s">
        <v>10</v>
      </c>
      <c r="D153" s="27" t="s">
        <v>294</v>
      </c>
      <c r="E153" s="120" t="s">
        <v>10</v>
      </c>
      <c r="F153" s="62" t="s">
        <v>10</v>
      </c>
      <c r="G153" s="25" t="s">
        <v>10</v>
      </c>
      <c r="H153" s="8" t="s">
        <v>10</v>
      </c>
      <c r="I153" s="25" t="s">
        <v>10</v>
      </c>
      <c r="J153" s="25" t="s">
        <v>10</v>
      </c>
      <c r="K153" s="14">
        <f>289539.32-K144-K145-K146-K147-K148-K149-K150-K151-K152</f>
        <v>1118.1000000000131</v>
      </c>
      <c r="L153" s="14">
        <f>293832.96-L144-L145-L146-L147-L148-L149-L150-L151-L152</f>
        <v>5840.4099999999889</v>
      </c>
      <c r="M153" s="14">
        <f>298329.5-M144-M145-M146-M147-M148-M149-M150-M151-M152</f>
        <v>9830.7199999999939</v>
      </c>
    </row>
    <row r="154" spans="1:15" ht="36.75" customHeight="1">
      <c r="A154" s="107" t="s">
        <v>66</v>
      </c>
      <c r="B154" s="108" t="s">
        <v>236</v>
      </c>
      <c r="C154" s="107" t="s">
        <v>10</v>
      </c>
      <c r="D154" s="99" t="s">
        <v>235</v>
      </c>
      <c r="E154" s="131" t="s">
        <v>318</v>
      </c>
      <c r="F154" s="105" t="s">
        <v>325</v>
      </c>
      <c r="G154" s="106">
        <v>9</v>
      </c>
      <c r="H154" s="107" t="s">
        <v>10</v>
      </c>
      <c r="I154" s="107" t="s">
        <v>110</v>
      </c>
      <c r="J154" s="107" t="s">
        <v>110</v>
      </c>
      <c r="K154" s="100">
        <f>K155+K156+K157+K158+K159+K160+K161+K163+K162+K164+K165+K166+K167+K168+K169+K170+K171+K172+K173+K175+K176+K177+K178+K179+K180+K174</f>
        <v>36772.020000000004</v>
      </c>
      <c r="L154" s="100">
        <f>L155+L156+L157+L158+L159+L160+L161+L163+L162+L164+L165+L166+L167+L168+L169+L170+L171+L172+L173+L175+L176+L177+L178+L179+L180</f>
        <v>40194.510000000009</v>
      </c>
      <c r="M154" s="100">
        <f>M155+M156+M157+M158+M159+M160+M161+M163+M162+M164+M165+M166+M167+M168+M169+M170+M171+M172+M173+M175+M176+M177+M178+M179+M180</f>
        <v>41110.35</v>
      </c>
      <c r="O154" s="16"/>
    </row>
    <row r="155" spans="1:15" ht="78.75">
      <c r="A155" s="166" t="s">
        <v>66</v>
      </c>
      <c r="B155" s="166" t="s">
        <v>236</v>
      </c>
      <c r="C155" s="166" t="s">
        <v>70</v>
      </c>
      <c r="D155" s="18" t="s">
        <v>238</v>
      </c>
      <c r="E155" s="9" t="s">
        <v>34</v>
      </c>
      <c r="F155" s="43" t="s">
        <v>13</v>
      </c>
      <c r="G155" s="21">
        <v>4</v>
      </c>
      <c r="H155" s="8" t="s">
        <v>211</v>
      </c>
      <c r="I155" s="8" t="s">
        <v>99</v>
      </c>
      <c r="J155" s="8" t="s">
        <v>99</v>
      </c>
      <c r="K155" s="14">
        <v>19400</v>
      </c>
      <c r="L155" s="14">
        <v>0</v>
      </c>
      <c r="M155" s="14">
        <v>0</v>
      </c>
      <c r="O155" s="16"/>
    </row>
    <row r="156" spans="1:15" ht="47.25">
      <c r="A156" s="167"/>
      <c r="B156" s="167"/>
      <c r="C156" s="167"/>
      <c r="D156" s="18" t="s">
        <v>239</v>
      </c>
      <c r="E156" s="19" t="s">
        <v>15</v>
      </c>
      <c r="F156" s="62" t="s">
        <v>13</v>
      </c>
      <c r="G156" s="21">
        <v>1</v>
      </c>
      <c r="H156" s="8" t="s">
        <v>211</v>
      </c>
      <c r="I156" s="8" t="s">
        <v>99</v>
      </c>
      <c r="J156" s="8" t="s">
        <v>99</v>
      </c>
      <c r="K156" s="14">
        <v>3800</v>
      </c>
      <c r="L156" s="14">
        <v>0</v>
      </c>
      <c r="M156" s="14">
        <v>0</v>
      </c>
    </row>
    <row r="157" spans="1:15" ht="47.25">
      <c r="A157" s="167"/>
      <c r="B157" s="167"/>
      <c r="C157" s="167"/>
      <c r="D157" s="15" t="s">
        <v>240</v>
      </c>
      <c r="E157" s="15" t="s">
        <v>241</v>
      </c>
      <c r="F157" s="13" t="s">
        <v>13</v>
      </c>
      <c r="G157" s="24">
        <v>1</v>
      </c>
      <c r="H157" s="8" t="s">
        <v>211</v>
      </c>
      <c r="I157" s="11" t="s">
        <v>99</v>
      </c>
      <c r="J157" s="11" t="s">
        <v>99</v>
      </c>
      <c r="K157" s="14">
        <v>300</v>
      </c>
      <c r="L157" s="14">
        <v>0</v>
      </c>
      <c r="M157" s="14">
        <v>0</v>
      </c>
    </row>
    <row r="158" spans="1:15" ht="47.25">
      <c r="A158" s="168"/>
      <c r="B158" s="168"/>
      <c r="C158" s="168"/>
      <c r="D158" s="15" t="s">
        <v>242</v>
      </c>
      <c r="E158" s="15" t="s">
        <v>34</v>
      </c>
      <c r="F158" s="13" t="s">
        <v>13</v>
      </c>
      <c r="G158" s="24">
        <v>2</v>
      </c>
      <c r="H158" s="8" t="s">
        <v>211</v>
      </c>
      <c r="I158" s="11" t="s">
        <v>99</v>
      </c>
      <c r="J158" s="11" t="s">
        <v>99</v>
      </c>
      <c r="K158" s="14">
        <v>109.58</v>
      </c>
      <c r="L158" s="14">
        <v>0</v>
      </c>
      <c r="M158" s="14">
        <v>0</v>
      </c>
    </row>
    <row r="159" spans="1:15" ht="47.25" customHeight="1">
      <c r="A159" s="163" t="s">
        <v>66</v>
      </c>
      <c r="B159" s="166" t="s">
        <v>236</v>
      </c>
      <c r="C159" s="163" t="s">
        <v>130</v>
      </c>
      <c r="D159" s="15" t="s">
        <v>107</v>
      </c>
      <c r="E159" s="19" t="s">
        <v>243</v>
      </c>
      <c r="F159" s="13" t="s">
        <v>13</v>
      </c>
      <c r="G159" s="26">
        <v>9</v>
      </c>
      <c r="H159" s="8" t="s">
        <v>211</v>
      </c>
      <c r="I159" s="11" t="s">
        <v>99</v>
      </c>
      <c r="J159" s="11" t="s">
        <v>99</v>
      </c>
      <c r="K159" s="14">
        <f>188</f>
        <v>188</v>
      </c>
      <c r="L159" s="14">
        <v>0</v>
      </c>
      <c r="M159" s="14">
        <v>0</v>
      </c>
    </row>
    <row r="160" spans="1:15" ht="47.25" customHeight="1">
      <c r="A160" s="165"/>
      <c r="B160" s="168"/>
      <c r="C160" s="165"/>
      <c r="D160" s="15" t="s">
        <v>151</v>
      </c>
      <c r="E160" s="19" t="s">
        <v>244</v>
      </c>
      <c r="F160" s="13" t="s">
        <v>13</v>
      </c>
      <c r="G160" s="26">
        <v>1</v>
      </c>
      <c r="H160" s="8" t="s">
        <v>211</v>
      </c>
      <c r="I160" s="11" t="s">
        <v>99</v>
      </c>
      <c r="J160" s="11" t="s">
        <v>99</v>
      </c>
      <c r="K160" s="14">
        <v>225.8</v>
      </c>
      <c r="L160" s="14">
        <v>0</v>
      </c>
      <c r="M160" s="14">
        <v>0</v>
      </c>
    </row>
    <row r="161" spans="1:13" ht="31.5">
      <c r="A161" s="163" t="s">
        <v>66</v>
      </c>
      <c r="B161" s="166" t="s">
        <v>236</v>
      </c>
      <c r="C161" s="163" t="s">
        <v>76</v>
      </c>
      <c r="D161" s="15" t="s">
        <v>107</v>
      </c>
      <c r="E161" s="19" t="s">
        <v>243</v>
      </c>
      <c r="F161" s="13" t="s">
        <v>13</v>
      </c>
      <c r="G161" s="26">
        <v>8</v>
      </c>
      <c r="H161" s="8" t="s">
        <v>211</v>
      </c>
      <c r="I161" s="11" t="s">
        <v>99</v>
      </c>
      <c r="J161" s="11" t="s">
        <v>99</v>
      </c>
      <c r="K161" s="14">
        <v>194.8</v>
      </c>
      <c r="L161" s="14">
        <v>0</v>
      </c>
      <c r="M161" s="14">
        <v>0</v>
      </c>
    </row>
    <row r="162" spans="1:13" ht="31.5">
      <c r="A162" s="164"/>
      <c r="B162" s="167"/>
      <c r="C162" s="164"/>
      <c r="D162" s="15" t="s">
        <v>245</v>
      </c>
      <c r="E162" s="19" t="s">
        <v>150</v>
      </c>
      <c r="F162" s="13" t="s">
        <v>13</v>
      </c>
      <c r="G162" s="26">
        <v>0</v>
      </c>
      <c r="H162" s="8" t="s">
        <v>10</v>
      </c>
      <c r="I162" s="11" t="s">
        <v>65</v>
      </c>
      <c r="J162" s="11" t="s">
        <v>99</v>
      </c>
      <c r="K162" s="14">
        <v>0</v>
      </c>
      <c r="L162" s="14">
        <v>119.4</v>
      </c>
      <c r="M162" s="14">
        <v>0</v>
      </c>
    </row>
    <row r="163" spans="1:13" ht="31.5">
      <c r="A163" s="165"/>
      <c r="B163" s="168"/>
      <c r="C163" s="165"/>
      <c r="D163" s="15" t="s">
        <v>134</v>
      </c>
      <c r="E163" s="19" t="s">
        <v>17</v>
      </c>
      <c r="F163" s="13" t="s">
        <v>13</v>
      </c>
      <c r="G163" s="26">
        <v>1</v>
      </c>
      <c r="H163" s="8" t="s">
        <v>211</v>
      </c>
      <c r="I163" s="11">
        <v>0</v>
      </c>
      <c r="J163" s="11" t="s">
        <v>99</v>
      </c>
      <c r="K163" s="14">
        <v>35</v>
      </c>
      <c r="L163" s="14">
        <v>0</v>
      </c>
      <c r="M163" s="14">
        <v>0</v>
      </c>
    </row>
    <row r="164" spans="1:13" ht="31.5">
      <c r="A164" s="11" t="s">
        <v>66</v>
      </c>
      <c r="B164" s="159" t="s">
        <v>236</v>
      </c>
      <c r="C164" s="11" t="s">
        <v>77</v>
      </c>
      <c r="D164" s="15" t="s">
        <v>246</v>
      </c>
      <c r="E164" s="19" t="s">
        <v>15</v>
      </c>
      <c r="F164" s="13" t="s">
        <v>13</v>
      </c>
      <c r="G164" s="26">
        <v>1</v>
      </c>
      <c r="H164" s="8" t="s">
        <v>211</v>
      </c>
      <c r="I164" s="11" t="s">
        <v>99</v>
      </c>
      <c r="J164" s="11" t="s">
        <v>99</v>
      </c>
      <c r="K164" s="14">
        <v>1111.18</v>
      </c>
      <c r="L164" s="14">
        <v>0</v>
      </c>
      <c r="M164" s="14">
        <v>0</v>
      </c>
    </row>
    <row r="165" spans="1:13" ht="47.25" customHeight="1">
      <c r="A165" s="163" t="s">
        <v>66</v>
      </c>
      <c r="B165" s="166" t="s">
        <v>236</v>
      </c>
      <c r="C165" s="163" t="s">
        <v>74</v>
      </c>
      <c r="D165" s="15" t="s">
        <v>153</v>
      </c>
      <c r="E165" s="19" t="s">
        <v>145</v>
      </c>
      <c r="F165" s="13" t="s">
        <v>13</v>
      </c>
      <c r="G165" s="26">
        <v>80</v>
      </c>
      <c r="H165" s="8" t="s">
        <v>211</v>
      </c>
      <c r="I165" s="11" t="s">
        <v>99</v>
      </c>
      <c r="J165" s="11" t="s">
        <v>99</v>
      </c>
      <c r="K165" s="14">
        <v>474.7</v>
      </c>
      <c r="L165" s="14">
        <v>0</v>
      </c>
      <c r="M165" s="14">
        <v>0</v>
      </c>
    </row>
    <row r="166" spans="1:13" ht="47.25" customHeight="1">
      <c r="A166" s="164"/>
      <c r="B166" s="167"/>
      <c r="C166" s="164"/>
      <c r="D166" s="19" t="s">
        <v>247</v>
      </c>
      <c r="E166" s="19" t="s">
        <v>15</v>
      </c>
      <c r="F166" s="13" t="s">
        <v>13</v>
      </c>
      <c r="G166" s="24">
        <v>0</v>
      </c>
      <c r="H166" s="8" t="s">
        <v>10</v>
      </c>
      <c r="I166" s="11" t="s">
        <v>65</v>
      </c>
      <c r="J166" s="11" t="s">
        <v>99</v>
      </c>
      <c r="K166" s="14">
        <v>0</v>
      </c>
      <c r="L166" s="14">
        <v>6880</v>
      </c>
      <c r="M166" s="14">
        <v>0</v>
      </c>
    </row>
    <row r="167" spans="1:13" ht="47.25" customHeight="1">
      <c r="A167" s="165"/>
      <c r="B167" s="168"/>
      <c r="C167" s="165"/>
      <c r="D167" s="19" t="s">
        <v>248</v>
      </c>
      <c r="E167" s="19" t="s">
        <v>15</v>
      </c>
      <c r="F167" s="13" t="s">
        <v>13</v>
      </c>
      <c r="G167" s="24">
        <v>0</v>
      </c>
      <c r="H167" s="8" t="s">
        <v>10</v>
      </c>
      <c r="I167" s="11" t="s">
        <v>99</v>
      </c>
      <c r="J167" s="11" t="s">
        <v>65</v>
      </c>
      <c r="K167" s="14">
        <v>0</v>
      </c>
      <c r="L167" s="14">
        <v>0</v>
      </c>
      <c r="M167" s="14">
        <v>2200</v>
      </c>
    </row>
    <row r="168" spans="1:13" ht="126">
      <c r="A168" s="163" t="s">
        <v>66</v>
      </c>
      <c r="B168" s="166" t="s">
        <v>236</v>
      </c>
      <c r="C168" s="163" t="s">
        <v>78</v>
      </c>
      <c r="D168" s="19" t="s">
        <v>249</v>
      </c>
      <c r="E168" s="19" t="s">
        <v>34</v>
      </c>
      <c r="F168" s="22" t="s">
        <v>13</v>
      </c>
      <c r="G168" s="26">
        <v>1</v>
      </c>
      <c r="H168" s="8" t="s">
        <v>211</v>
      </c>
      <c r="I168" s="11" t="s">
        <v>99</v>
      </c>
      <c r="J168" s="11" t="s">
        <v>99</v>
      </c>
      <c r="K168" s="14">
        <v>5296.85</v>
      </c>
      <c r="L168" s="14">
        <v>0</v>
      </c>
      <c r="M168" s="14">
        <v>0</v>
      </c>
    </row>
    <row r="169" spans="1:13" ht="31.5">
      <c r="A169" s="165"/>
      <c r="B169" s="168"/>
      <c r="C169" s="165"/>
      <c r="D169" s="19" t="s">
        <v>250</v>
      </c>
      <c r="E169" s="19" t="s">
        <v>34</v>
      </c>
      <c r="F169" s="22" t="s">
        <v>13</v>
      </c>
      <c r="G169" s="26">
        <v>1</v>
      </c>
      <c r="H169" s="8" t="s">
        <v>211</v>
      </c>
      <c r="I169" s="11" t="s">
        <v>99</v>
      </c>
      <c r="J169" s="11" t="s">
        <v>99</v>
      </c>
      <c r="K169" s="14">
        <v>194</v>
      </c>
      <c r="L169" s="14">
        <v>0</v>
      </c>
      <c r="M169" s="14">
        <v>0</v>
      </c>
    </row>
    <row r="170" spans="1:13" ht="63">
      <c r="A170" s="163" t="s">
        <v>66</v>
      </c>
      <c r="B170" s="166" t="s">
        <v>236</v>
      </c>
      <c r="C170" s="163" t="s">
        <v>79</v>
      </c>
      <c r="D170" s="19" t="s">
        <v>251</v>
      </c>
      <c r="E170" s="19" t="s">
        <v>241</v>
      </c>
      <c r="F170" s="22" t="s">
        <v>13</v>
      </c>
      <c r="G170" s="26">
        <v>1</v>
      </c>
      <c r="H170" s="8" t="s">
        <v>211</v>
      </c>
      <c r="I170" s="11" t="s">
        <v>99</v>
      </c>
      <c r="J170" s="11" t="s">
        <v>99</v>
      </c>
      <c r="K170" s="14">
        <v>1200</v>
      </c>
      <c r="L170" s="14">
        <v>0</v>
      </c>
      <c r="M170" s="14">
        <v>0</v>
      </c>
    </row>
    <row r="171" spans="1:13" ht="47.25">
      <c r="A171" s="164"/>
      <c r="B171" s="167"/>
      <c r="C171" s="164"/>
      <c r="D171" s="18" t="s">
        <v>252</v>
      </c>
      <c r="E171" s="15" t="s">
        <v>15</v>
      </c>
      <c r="F171" s="13" t="s">
        <v>13</v>
      </c>
      <c r="G171" s="24">
        <v>0</v>
      </c>
      <c r="H171" s="8" t="s">
        <v>10</v>
      </c>
      <c r="I171" s="11" t="s">
        <v>65</v>
      </c>
      <c r="J171" s="11" t="s">
        <v>99</v>
      </c>
      <c r="K171" s="14">
        <v>0</v>
      </c>
      <c r="L171" s="14">
        <v>4000</v>
      </c>
      <c r="M171" s="14">
        <v>0</v>
      </c>
    </row>
    <row r="172" spans="1:13" ht="31.5">
      <c r="A172" s="164"/>
      <c r="B172" s="167"/>
      <c r="C172" s="164"/>
      <c r="D172" s="19" t="s">
        <v>253</v>
      </c>
      <c r="E172" s="19" t="s">
        <v>241</v>
      </c>
      <c r="F172" s="13" t="s">
        <v>13</v>
      </c>
      <c r="G172" s="24">
        <v>0</v>
      </c>
      <c r="H172" s="8" t="s">
        <v>10</v>
      </c>
      <c r="I172" s="11" t="s">
        <v>65</v>
      </c>
      <c r="J172" s="11" t="s">
        <v>99</v>
      </c>
      <c r="K172" s="14">
        <v>0</v>
      </c>
      <c r="L172" s="14">
        <v>600</v>
      </c>
      <c r="M172" s="14">
        <v>0</v>
      </c>
    </row>
    <row r="173" spans="1:13" ht="47.25">
      <c r="A173" s="165"/>
      <c r="B173" s="168"/>
      <c r="C173" s="165"/>
      <c r="D173" s="30" t="s">
        <v>254</v>
      </c>
      <c r="E173" s="150" t="s">
        <v>34</v>
      </c>
      <c r="F173" s="37" t="s">
        <v>13</v>
      </c>
      <c r="G173" s="55">
        <v>0</v>
      </c>
      <c r="H173" s="68" t="s">
        <v>10</v>
      </c>
      <c r="I173" s="67" t="s">
        <v>99</v>
      </c>
      <c r="J173" s="67" t="s">
        <v>8</v>
      </c>
      <c r="K173" s="151">
        <v>0</v>
      </c>
      <c r="L173" s="151">
        <v>0</v>
      </c>
      <c r="M173" s="151">
        <v>25000</v>
      </c>
    </row>
    <row r="174" spans="1:13" ht="47.25" customHeight="1">
      <c r="A174" s="163" t="s">
        <v>66</v>
      </c>
      <c r="B174" s="166" t="s">
        <v>236</v>
      </c>
      <c r="C174" s="163" t="s">
        <v>75</v>
      </c>
      <c r="D174" s="19" t="s">
        <v>322</v>
      </c>
      <c r="E174" s="150" t="s">
        <v>34</v>
      </c>
      <c r="F174" s="37" t="s">
        <v>13</v>
      </c>
      <c r="G174" s="24">
        <v>1</v>
      </c>
      <c r="H174" s="8" t="s">
        <v>211</v>
      </c>
      <c r="I174" s="11" t="s">
        <v>99</v>
      </c>
      <c r="J174" s="11" t="s">
        <v>99</v>
      </c>
      <c r="K174" s="14">
        <f>240-102.49</f>
        <v>137.51</v>
      </c>
      <c r="L174" s="14">
        <v>0</v>
      </c>
      <c r="M174" s="14">
        <v>0</v>
      </c>
    </row>
    <row r="175" spans="1:13" ht="126">
      <c r="A175" s="164"/>
      <c r="B175" s="167"/>
      <c r="C175" s="164"/>
      <c r="D175" s="19" t="s">
        <v>321</v>
      </c>
      <c r="E175" s="15" t="s">
        <v>15</v>
      </c>
      <c r="F175" s="13" t="s">
        <v>13</v>
      </c>
      <c r="G175" s="24">
        <v>1</v>
      </c>
      <c r="H175" s="8" t="s">
        <v>211</v>
      </c>
      <c r="I175" s="11" t="s">
        <v>99</v>
      </c>
      <c r="J175" s="11" t="s">
        <v>99</v>
      </c>
      <c r="K175" s="14">
        <v>4104.6000000000004</v>
      </c>
      <c r="L175" s="14">
        <v>0</v>
      </c>
      <c r="M175" s="14">
        <v>0</v>
      </c>
    </row>
    <row r="176" spans="1:13" ht="47.25">
      <c r="A176" s="164"/>
      <c r="B176" s="167"/>
      <c r="C176" s="164"/>
      <c r="D176" s="19" t="s">
        <v>255</v>
      </c>
      <c r="E176" s="19" t="s">
        <v>34</v>
      </c>
      <c r="F176" s="22" t="s">
        <v>13</v>
      </c>
      <c r="G176" s="26">
        <v>0</v>
      </c>
      <c r="H176" s="23" t="s">
        <v>10</v>
      </c>
      <c r="I176" s="23" t="s">
        <v>83</v>
      </c>
      <c r="J176" s="23" t="s">
        <v>99</v>
      </c>
      <c r="K176" s="14">
        <v>0</v>
      </c>
      <c r="L176" s="14">
        <v>11000</v>
      </c>
      <c r="M176" s="14">
        <v>0</v>
      </c>
    </row>
    <row r="177" spans="1:13" ht="47.25" customHeight="1">
      <c r="A177" s="164"/>
      <c r="B177" s="167"/>
      <c r="C177" s="164"/>
      <c r="D177" s="30" t="s">
        <v>256</v>
      </c>
      <c r="E177" s="15" t="s">
        <v>15</v>
      </c>
      <c r="F177" s="13" t="s">
        <v>13</v>
      </c>
      <c r="G177" s="26">
        <v>0</v>
      </c>
      <c r="H177" s="8" t="s">
        <v>10</v>
      </c>
      <c r="I177" s="11" t="s">
        <v>65</v>
      </c>
      <c r="J177" s="11" t="s">
        <v>99</v>
      </c>
      <c r="K177" s="14">
        <v>0</v>
      </c>
      <c r="L177" s="14">
        <v>16642.810000000001</v>
      </c>
      <c r="M177" s="14">
        <v>0</v>
      </c>
    </row>
    <row r="178" spans="1:13" ht="78.75">
      <c r="A178" s="165"/>
      <c r="B178" s="168"/>
      <c r="C178" s="165"/>
      <c r="D178" s="15" t="s">
        <v>257</v>
      </c>
      <c r="E178" s="19" t="s">
        <v>17</v>
      </c>
      <c r="F178" s="13" t="s">
        <v>13</v>
      </c>
      <c r="G178" s="26">
        <v>0</v>
      </c>
      <c r="H178" s="8" t="s">
        <v>211</v>
      </c>
      <c r="I178" s="11" t="s">
        <v>99</v>
      </c>
      <c r="J178" s="11" t="s">
        <v>65</v>
      </c>
      <c r="K178" s="14">
        <v>0</v>
      </c>
      <c r="L178" s="14">
        <v>0</v>
      </c>
      <c r="M178" s="14">
        <v>12838.65</v>
      </c>
    </row>
    <row r="179" spans="1:13" ht="47.25">
      <c r="A179" s="8" t="s">
        <v>66</v>
      </c>
      <c r="B179" s="159" t="s">
        <v>236</v>
      </c>
      <c r="C179" s="11" t="s">
        <v>152</v>
      </c>
      <c r="D179" s="34" t="s">
        <v>107</v>
      </c>
      <c r="E179" s="39" t="s">
        <v>119</v>
      </c>
      <c r="F179" s="13" t="s">
        <v>13</v>
      </c>
      <c r="G179" s="49">
        <v>0</v>
      </c>
      <c r="H179" s="8" t="s">
        <v>10</v>
      </c>
      <c r="I179" s="48">
        <v>5</v>
      </c>
      <c r="J179" s="11" t="s">
        <v>99</v>
      </c>
      <c r="K179" s="14">
        <v>0</v>
      </c>
      <c r="L179" s="14">
        <v>0</v>
      </c>
      <c r="M179" s="14">
        <v>1071.7</v>
      </c>
    </row>
    <row r="180" spans="1:13" ht="47.25">
      <c r="A180" s="8" t="s">
        <v>66</v>
      </c>
      <c r="B180" s="159" t="s">
        <v>236</v>
      </c>
      <c r="C180" s="11" t="s">
        <v>152</v>
      </c>
      <c r="D180" s="19" t="s">
        <v>120</v>
      </c>
      <c r="E180" s="39" t="s">
        <v>119</v>
      </c>
      <c r="F180" s="13" t="s">
        <v>13</v>
      </c>
      <c r="G180" s="4">
        <v>0</v>
      </c>
      <c r="H180" s="8" t="s">
        <v>10</v>
      </c>
      <c r="I180" s="48">
        <v>0</v>
      </c>
      <c r="J180" s="23" t="s">
        <v>110</v>
      </c>
      <c r="K180" s="14">
        <v>0</v>
      </c>
      <c r="L180" s="14">
        <v>952.3</v>
      </c>
      <c r="M180" s="14">
        <v>0</v>
      </c>
    </row>
    <row r="181" spans="1:13" ht="97.5" customHeight="1">
      <c r="A181" s="182" t="s">
        <v>80</v>
      </c>
      <c r="B181" s="182"/>
      <c r="C181" s="182"/>
      <c r="D181" s="185" t="s">
        <v>81</v>
      </c>
      <c r="E181" s="123" t="s">
        <v>82</v>
      </c>
      <c r="F181" s="124" t="s">
        <v>13</v>
      </c>
      <c r="G181" s="121" t="s">
        <v>109</v>
      </c>
      <c r="H181" s="134" t="s">
        <v>10</v>
      </c>
      <c r="I181" s="121" t="s">
        <v>109</v>
      </c>
      <c r="J181" s="121" t="s">
        <v>109</v>
      </c>
      <c r="K181" s="173">
        <f>K186+K188+K190+K192+K194</f>
        <v>2439.6</v>
      </c>
      <c r="L181" s="173">
        <f t="shared" ref="L181:M181" si="22">L186+L188+L190+L192+L194</f>
        <v>2439.6</v>
      </c>
      <c r="M181" s="173">
        <f t="shared" si="22"/>
        <v>1439.6</v>
      </c>
    </row>
    <row r="182" spans="1:13" ht="31.5">
      <c r="A182" s="183"/>
      <c r="B182" s="183"/>
      <c r="C182" s="183"/>
      <c r="D182" s="186"/>
      <c r="E182" s="113" t="s">
        <v>298</v>
      </c>
      <c r="F182" s="85" t="s">
        <v>13</v>
      </c>
      <c r="G182" s="122" t="s">
        <v>90</v>
      </c>
      <c r="H182" s="134" t="s">
        <v>10</v>
      </c>
      <c r="I182" s="122" t="s">
        <v>90</v>
      </c>
      <c r="J182" s="122" t="s">
        <v>90</v>
      </c>
      <c r="K182" s="212"/>
      <c r="L182" s="212"/>
      <c r="M182" s="212"/>
    </row>
    <row r="183" spans="1:13" ht="31.5">
      <c r="A183" s="183"/>
      <c r="B183" s="183"/>
      <c r="C183" s="183"/>
      <c r="D183" s="186"/>
      <c r="E183" s="113" t="s">
        <v>299</v>
      </c>
      <c r="F183" s="85" t="s">
        <v>13</v>
      </c>
      <c r="G183" s="122" t="s">
        <v>8</v>
      </c>
      <c r="H183" s="134" t="s">
        <v>10</v>
      </c>
      <c r="I183" s="122" t="s">
        <v>8</v>
      </c>
      <c r="J183" s="122" t="s">
        <v>8</v>
      </c>
      <c r="K183" s="212"/>
      <c r="L183" s="212"/>
      <c r="M183" s="212"/>
    </row>
    <row r="184" spans="1:13" ht="47.25">
      <c r="A184" s="183"/>
      <c r="B184" s="183"/>
      <c r="C184" s="183"/>
      <c r="D184" s="186"/>
      <c r="E184" s="113" t="s">
        <v>300</v>
      </c>
      <c r="F184" s="85" t="s">
        <v>13</v>
      </c>
      <c r="G184" s="122" t="s">
        <v>90</v>
      </c>
      <c r="H184" s="134" t="s">
        <v>10</v>
      </c>
      <c r="I184" s="122" t="s">
        <v>90</v>
      </c>
      <c r="J184" s="122" t="s">
        <v>90</v>
      </c>
      <c r="K184" s="212"/>
      <c r="L184" s="212"/>
      <c r="M184" s="212"/>
    </row>
    <row r="185" spans="1:13" ht="63">
      <c r="A185" s="184"/>
      <c r="B185" s="184"/>
      <c r="C185" s="184"/>
      <c r="D185" s="187"/>
      <c r="E185" s="113" t="s">
        <v>84</v>
      </c>
      <c r="F185" s="128" t="s">
        <v>31</v>
      </c>
      <c r="G185" s="121" t="s">
        <v>85</v>
      </c>
      <c r="H185" s="134" t="s">
        <v>10</v>
      </c>
      <c r="I185" s="121" t="s">
        <v>85</v>
      </c>
      <c r="J185" s="121" t="s">
        <v>85</v>
      </c>
      <c r="K185" s="177"/>
      <c r="L185" s="177"/>
      <c r="M185" s="177"/>
    </row>
    <row r="186" spans="1:13" ht="31.5">
      <c r="A186" s="107" t="s">
        <v>80</v>
      </c>
      <c r="B186" s="108" t="s">
        <v>302</v>
      </c>
      <c r="C186" s="105" t="s">
        <v>10</v>
      </c>
      <c r="D186" s="132" t="s">
        <v>301</v>
      </c>
      <c r="E186" s="131" t="s">
        <v>88</v>
      </c>
      <c r="F186" s="129" t="s">
        <v>13</v>
      </c>
      <c r="G186" s="129">
        <v>4</v>
      </c>
      <c r="H186" s="104" t="s">
        <v>10</v>
      </c>
      <c r="I186" s="104" t="s">
        <v>109</v>
      </c>
      <c r="J186" s="104" t="s">
        <v>99</v>
      </c>
      <c r="K186" s="100">
        <v>1000</v>
      </c>
      <c r="L186" s="100">
        <f>L187</f>
        <v>1000</v>
      </c>
      <c r="M186" s="100">
        <f>M187</f>
        <v>0</v>
      </c>
    </row>
    <row r="187" spans="1:13" ht="94.5">
      <c r="A187" s="8" t="s">
        <v>80</v>
      </c>
      <c r="B187" s="159" t="s">
        <v>302</v>
      </c>
      <c r="C187" s="11" t="s">
        <v>89</v>
      </c>
      <c r="D187" s="28" t="s">
        <v>87</v>
      </c>
      <c r="E187" s="15" t="s">
        <v>88</v>
      </c>
      <c r="F187" s="13" t="s">
        <v>13</v>
      </c>
      <c r="G187" s="13">
        <v>4</v>
      </c>
      <c r="H187" s="8" t="s">
        <v>211</v>
      </c>
      <c r="I187" s="11" t="s">
        <v>109</v>
      </c>
      <c r="J187" s="11" t="s">
        <v>99</v>
      </c>
      <c r="K187" s="14">
        <v>1000</v>
      </c>
      <c r="L187" s="14">
        <v>1000</v>
      </c>
      <c r="M187" s="14">
        <v>0</v>
      </c>
    </row>
    <row r="188" spans="1:13" s="130" customFormat="1" ht="31.5">
      <c r="A188" s="107" t="s">
        <v>80</v>
      </c>
      <c r="B188" s="108" t="s">
        <v>304</v>
      </c>
      <c r="C188" s="107" t="s">
        <v>10</v>
      </c>
      <c r="D188" s="133" t="s">
        <v>303</v>
      </c>
      <c r="E188" s="131" t="s">
        <v>88</v>
      </c>
      <c r="F188" s="105" t="s">
        <v>13</v>
      </c>
      <c r="G188" s="105">
        <v>6</v>
      </c>
      <c r="H188" s="107" t="s">
        <v>10</v>
      </c>
      <c r="I188" s="107" t="s">
        <v>90</v>
      </c>
      <c r="J188" s="107" t="s">
        <v>90</v>
      </c>
      <c r="K188" s="100">
        <v>440</v>
      </c>
      <c r="L188" s="100">
        <v>440</v>
      </c>
      <c r="M188" s="100">
        <v>440</v>
      </c>
    </row>
    <row r="189" spans="1:13" ht="31.5">
      <c r="A189" s="8" t="s">
        <v>80</v>
      </c>
      <c r="B189" s="159" t="s">
        <v>304</v>
      </c>
      <c r="C189" s="11" t="s">
        <v>18</v>
      </c>
      <c r="D189" s="28" t="s">
        <v>91</v>
      </c>
      <c r="E189" s="9" t="s">
        <v>88</v>
      </c>
      <c r="F189" s="62" t="s">
        <v>13</v>
      </c>
      <c r="G189" s="4">
        <v>6</v>
      </c>
      <c r="H189" s="8" t="s">
        <v>295</v>
      </c>
      <c r="I189" s="11" t="s">
        <v>90</v>
      </c>
      <c r="J189" s="11" t="s">
        <v>90</v>
      </c>
      <c r="K189" s="14">
        <v>440</v>
      </c>
      <c r="L189" s="14">
        <v>440</v>
      </c>
      <c r="M189" s="14">
        <v>440</v>
      </c>
    </row>
    <row r="190" spans="1:13" ht="31.5">
      <c r="A190" s="107" t="s">
        <v>80</v>
      </c>
      <c r="B190" s="108" t="s">
        <v>306</v>
      </c>
      <c r="C190" s="107" t="s">
        <v>10</v>
      </c>
      <c r="D190" s="99" t="s">
        <v>305</v>
      </c>
      <c r="E190" s="99" t="s">
        <v>92</v>
      </c>
      <c r="F190" s="105" t="s">
        <v>13</v>
      </c>
      <c r="G190" s="105">
        <v>3</v>
      </c>
      <c r="H190" s="107" t="s">
        <v>211</v>
      </c>
      <c r="I190" s="107" t="s">
        <v>8</v>
      </c>
      <c r="J190" s="107" t="s">
        <v>8</v>
      </c>
      <c r="K190" s="100">
        <f>K191</f>
        <v>210</v>
      </c>
      <c r="L190" s="100">
        <f t="shared" ref="L190:M190" si="23">L191</f>
        <v>210</v>
      </c>
      <c r="M190" s="100">
        <f t="shared" si="23"/>
        <v>210</v>
      </c>
    </row>
    <row r="191" spans="1:13" ht="47.25">
      <c r="A191" s="8" t="s">
        <v>80</v>
      </c>
      <c r="B191" s="159" t="s">
        <v>306</v>
      </c>
      <c r="C191" s="8" t="s">
        <v>18</v>
      </c>
      <c r="D191" s="28" t="s">
        <v>94</v>
      </c>
      <c r="E191" s="28" t="s">
        <v>92</v>
      </c>
      <c r="F191" s="62" t="s">
        <v>13</v>
      </c>
      <c r="G191" s="4">
        <v>3</v>
      </c>
      <c r="H191" s="8" t="s">
        <v>296</v>
      </c>
      <c r="I191" s="11" t="s">
        <v>8</v>
      </c>
      <c r="J191" s="11" t="s">
        <v>8</v>
      </c>
      <c r="K191" s="14">
        <v>210</v>
      </c>
      <c r="L191" s="14">
        <v>210</v>
      </c>
      <c r="M191" s="14">
        <v>210</v>
      </c>
    </row>
    <row r="192" spans="1:13" ht="31.5">
      <c r="A192" s="107" t="s">
        <v>80</v>
      </c>
      <c r="B192" s="108" t="s">
        <v>308</v>
      </c>
      <c r="C192" s="107" t="s">
        <v>10</v>
      </c>
      <c r="D192" s="99" t="s">
        <v>307</v>
      </c>
      <c r="E192" s="99" t="s">
        <v>92</v>
      </c>
      <c r="F192" s="105" t="s">
        <v>13</v>
      </c>
      <c r="G192" s="105">
        <v>6</v>
      </c>
      <c r="H192" s="107" t="s">
        <v>10</v>
      </c>
      <c r="I192" s="107" t="s">
        <v>90</v>
      </c>
      <c r="J192" s="107" t="s">
        <v>90</v>
      </c>
      <c r="K192" s="100">
        <v>420</v>
      </c>
      <c r="L192" s="100">
        <v>420</v>
      </c>
      <c r="M192" s="100">
        <v>420</v>
      </c>
    </row>
    <row r="193" spans="1:13" ht="47.25">
      <c r="A193" s="8" t="s">
        <v>80</v>
      </c>
      <c r="B193" s="159" t="s">
        <v>308</v>
      </c>
      <c r="C193" s="8" t="s">
        <v>18</v>
      </c>
      <c r="D193" s="28" t="s">
        <v>93</v>
      </c>
      <c r="E193" s="28" t="s">
        <v>92</v>
      </c>
      <c r="F193" s="62" t="s">
        <v>13</v>
      </c>
      <c r="G193" s="4">
        <v>6</v>
      </c>
      <c r="H193" s="8" t="s">
        <v>230</v>
      </c>
      <c r="I193" s="11" t="s">
        <v>90</v>
      </c>
      <c r="J193" s="11" t="s">
        <v>90</v>
      </c>
      <c r="K193" s="14">
        <v>420</v>
      </c>
      <c r="L193" s="14">
        <v>420</v>
      </c>
      <c r="M193" s="14">
        <v>420</v>
      </c>
    </row>
    <row r="194" spans="1:13" ht="31.5">
      <c r="A194" s="107" t="s">
        <v>66</v>
      </c>
      <c r="B194" s="108" t="s">
        <v>309</v>
      </c>
      <c r="C194" s="107" t="s">
        <v>18</v>
      </c>
      <c r="D194" s="99" t="s">
        <v>327</v>
      </c>
      <c r="E194" s="99" t="s">
        <v>95</v>
      </c>
      <c r="F194" s="105" t="s">
        <v>31</v>
      </c>
      <c r="G194" s="105">
        <v>28</v>
      </c>
      <c r="H194" s="107" t="s">
        <v>10</v>
      </c>
      <c r="I194" s="107" t="s">
        <v>85</v>
      </c>
      <c r="J194" s="107" t="s">
        <v>85</v>
      </c>
      <c r="K194" s="100">
        <v>369.6</v>
      </c>
      <c r="L194" s="100">
        <v>369.6</v>
      </c>
      <c r="M194" s="100">
        <v>369.6</v>
      </c>
    </row>
    <row r="195" spans="1:13" ht="47.25">
      <c r="A195" s="8" t="s">
        <v>80</v>
      </c>
      <c r="B195" s="159" t="s">
        <v>309</v>
      </c>
      <c r="C195" s="8" t="s">
        <v>18</v>
      </c>
      <c r="D195" s="27" t="s">
        <v>96</v>
      </c>
      <c r="E195" s="9" t="s">
        <v>95</v>
      </c>
      <c r="F195" s="4" t="s">
        <v>31</v>
      </c>
      <c r="G195" s="4">
        <v>28</v>
      </c>
      <c r="H195" s="8" t="s">
        <v>297</v>
      </c>
      <c r="I195" s="11" t="s">
        <v>85</v>
      </c>
      <c r="J195" s="11" t="s">
        <v>85</v>
      </c>
      <c r="K195" s="14">
        <v>369.6</v>
      </c>
      <c r="L195" s="14">
        <v>369.6</v>
      </c>
      <c r="M195" s="14">
        <v>369.6</v>
      </c>
    </row>
    <row r="196" spans="1:13">
      <c r="A196" s="188" t="s">
        <v>125</v>
      </c>
      <c r="B196" s="188"/>
      <c r="C196" s="188"/>
      <c r="D196" s="188"/>
      <c r="E196" s="188"/>
    </row>
    <row r="197" spans="1:13">
      <c r="A197" s="50"/>
      <c r="B197" s="50"/>
      <c r="C197" s="50"/>
      <c r="D197" s="50"/>
      <c r="E197" s="50"/>
    </row>
    <row r="198" spans="1:13">
      <c r="A198" s="50"/>
      <c r="B198" s="50"/>
      <c r="C198" s="50"/>
      <c r="D198" s="50"/>
      <c r="E198" s="50"/>
    </row>
    <row r="199" spans="1:13">
      <c r="A199" s="50"/>
      <c r="B199" s="50"/>
      <c r="C199" s="50"/>
      <c r="D199" s="50"/>
      <c r="E199" s="50"/>
    </row>
    <row r="200" spans="1:13">
      <c r="A200" s="50"/>
      <c r="B200" s="50"/>
      <c r="C200" s="50"/>
      <c r="D200" s="50"/>
      <c r="E200" s="50"/>
    </row>
    <row r="202" spans="1:13" ht="37.5" customHeight="1">
      <c r="A202" s="178"/>
      <c r="B202" s="178"/>
      <c r="C202" s="178"/>
      <c r="D202" s="178"/>
      <c r="E202" s="178"/>
      <c r="F202" s="178"/>
    </row>
    <row r="203" spans="1:13">
      <c r="A203" s="51"/>
      <c r="B203" s="51"/>
      <c r="C203" s="51"/>
      <c r="D203" s="51"/>
      <c r="E203" s="51"/>
      <c r="F203" s="51"/>
    </row>
    <row r="205" spans="1:13">
      <c r="A205" s="178" t="s">
        <v>126</v>
      </c>
      <c r="B205" s="178"/>
      <c r="C205" s="178" t="s">
        <v>154</v>
      </c>
      <c r="D205" s="178"/>
    </row>
    <row r="206" spans="1:13">
      <c r="C206" s="1" t="s">
        <v>155</v>
      </c>
    </row>
    <row r="208" spans="1:13">
      <c r="E208" s="16"/>
      <c r="F208" s="16"/>
      <c r="G208" s="16"/>
    </row>
    <row r="209" spans="5:7">
      <c r="E209" s="16"/>
      <c r="F209" s="16"/>
      <c r="G209" s="16"/>
    </row>
    <row r="211" spans="5:7">
      <c r="E211" s="16"/>
      <c r="F211" s="16"/>
      <c r="G211" s="16"/>
    </row>
    <row r="212" spans="5:7">
      <c r="E212" s="16"/>
      <c r="F212" s="16"/>
      <c r="G212" s="16"/>
    </row>
    <row r="213" spans="5:7">
      <c r="E213" s="16"/>
      <c r="F213" s="16"/>
      <c r="G213" s="16"/>
    </row>
    <row r="214" spans="5:7">
      <c r="E214" s="16"/>
      <c r="F214" s="16"/>
      <c r="G214" s="16"/>
    </row>
    <row r="215" spans="5:7">
      <c r="E215" s="16"/>
      <c r="F215" s="16"/>
      <c r="G215" s="16"/>
    </row>
    <row r="216" spans="5:7">
      <c r="E216" s="16"/>
      <c r="F216" s="16"/>
      <c r="G216" s="16"/>
    </row>
    <row r="217" spans="5:7">
      <c r="E217" s="16"/>
      <c r="F217" s="16"/>
      <c r="G217" s="16"/>
    </row>
    <row r="218" spans="5:7">
      <c r="E218" s="16"/>
      <c r="F218" s="16"/>
      <c r="G218" s="16"/>
    </row>
    <row r="219" spans="5:7">
      <c r="E219" s="16"/>
      <c r="F219" s="16"/>
      <c r="G219" s="16"/>
    </row>
    <row r="220" spans="5:7">
      <c r="E220" s="16"/>
      <c r="F220" s="16"/>
      <c r="G220" s="16"/>
    </row>
    <row r="221" spans="5:7">
      <c r="E221" s="16"/>
      <c r="F221" s="16"/>
      <c r="G221" s="16"/>
    </row>
    <row r="222" spans="5:7">
      <c r="E222" s="16"/>
      <c r="F222" s="16"/>
      <c r="G222" s="16"/>
    </row>
    <row r="223" spans="5:7">
      <c r="E223" s="16"/>
      <c r="F223" s="16"/>
      <c r="G223" s="16"/>
    </row>
    <row r="224" spans="5:7">
      <c r="E224" s="16"/>
      <c r="F224" s="16"/>
      <c r="G224" s="16"/>
    </row>
    <row r="225" spans="5:7">
      <c r="E225" s="16"/>
      <c r="F225" s="16"/>
      <c r="G225" s="16"/>
    </row>
    <row r="226" spans="5:7">
      <c r="E226" s="16"/>
      <c r="F226" s="16"/>
      <c r="G226" s="16"/>
    </row>
  </sheetData>
  <mergeCells count="136">
    <mergeCell ref="B170:B173"/>
    <mergeCell ref="C170:C173"/>
    <mergeCell ref="A165:A167"/>
    <mergeCell ref="B165:B167"/>
    <mergeCell ref="C165:C167"/>
    <mergeCell ref="A161:A163"/>
    <mergeCell ref="B161:B163"/>
    <mergeCell ref="C161:C163"/>
    <mergeCell ref="A90:A97"/>
    <mergeCell ref="B90:B97"/>
    <mergeCell ref="C90:C97"/>
    <mergeCell ref="A78:A79"/>
    <mergeCell ref="A84:A89"/>
    <mergeCell ref="B84:B89"/>
    <mergeCell ref="C84:C89"/>
    <mergeCell ref="A98:A107"/>
    <mergeCell ref="B98:B107"/>
    <mergeCell ref="C98:C107"/>
    <mergeCell ref="A17:A18"/>
    <mergeCell ref="B17:B18"/>
    <mergeCell ref="C17:C18"/>
    <mergeCell ref="A20:A21"/>
    <mergeCell ref="B20:B21"/>
    <mergeCell ref="C20:C21"/>
    <mergeCell ref="M181:M185"/>
    <mergeCell ref="A181:A185"/>
    <mergeCell ref="B181:B185"/>
    <mergeCell ref="C181:C185"/>
    <mergeCell ref="D181:D185"/>
    <mergeCell ref="K181:K185"/>
    <mergeCell ref="L181:L185"/>
    <mergeCell ref="M130:M131"/>
    <mergeCell ref="A80:A82"/>
    <mergeCell ref="K80:K82"/>
    <mergeCell ref="L80:L82"/>
    <mergeCell ref="M80:M82"/>
    <mergeCell ref="L122:L124"/>
    <mergeCell ref="L130:L131"/>
    <mergeCell ref="A130:A131"/>
    <mergeCell ref="K130:K131"/>
    <mergeCell ref="K122:K124"/>
    <mergeCell ref="D130:D131"/>
    <mergeCell ref="K29:K32"/>
    <mergeCell ref="D80:D82"/>
    <mergeCell ref="C80:C82"/>
    <mergeCell ref="B80:B82"/>
    <mergeCell ref="C12:C13"/>
    <mergeCell ref="B12:B13"/>
    <mergeCell ref="K55:K56"/>
    <mergeCell ref="B40:B41"/>
    <mergeCell ref="C40:C41"/>
    <mergeCell ref="B61:B66"/>
    <mergeCell ref="C61:C66"/>
    <mergeCell ref="C23:C28"/>
    <mergeCell ref="B78:B79"/>
    <mergeCell ref="C78:C79"/>
    <mergeCell ref="B48:B49"/>
    <mergeCell ref="C48:C49"/>
    <mergeCell ref="B58:B59"/>
    <mergeCell ref="C58:C59"/>
    <mergeCell ref="J2:L3"/>
    <mergeCell ref="K12:K13"/>
    <mergeCell ref="A5:K5"/>
    <mergeCell ref="A7:A9"/>
    <mergeCell ref="B7:B9"/>
    <mergeCell ref="C7:C9"/>
    <mergeCell ref="D7:D9"/>
    <mergeCell ref="E7:J7"/>
    <mergeCell ref="K7:M8"/>
    <mergeCell ref="E8:E9"/>
    <mergeCell ref="F8:F9"/>
    <mergeCell ref="G8:H8"/>
    <mergeCell ref="M12:M13"/>
    <mergeCell ref="A12:A13"/>
    <mergeCell ref="D12:D13"/>
    <mergeCell ref="L29:L32"/>
    <mergeCell ref="M29:M32"/>
    <mergeCell ref="L12:L13"/>
    <mergeCell ref="M122:M124"/>
    <mergeCell ref="M55:M56"/>
    <mergeCell ref="L55:L56"/>
    <mergeCell ref="A205:B205"/>
    <mergeCell ref="C205:D205"/>
    <mergeCell ref="A202:F202"/>
    <mergeCell ref="B29:B32"/>
    <mergeCell ref="A122:A124"/>
    <mergeCell ref="B122:B124"/>
    <mergeCell ref="C122:C124"/>
    <mergeCell ref="D122:D124"/>
    <mergeCell ref="A196:E196"/>
    <mergeCell ref="D55:D56"/>
    <mergeCell ref="A29:A32"/>
    <mergeCell ref="D29:D32"/>
    <mergeCell ref="A55:A56"/>
    <mergeCell ref="B55:B56"/>
    <mergeCell ref="C55:C56"/>
    <mergeCell ref="C29:C32"/>
    <mergeCell ref="A23:A28"/>
    <mergeCell ref="B23:B28"/>
    <mergeCell ref="A43:A46"/>
    <mergeCell ref="B43:B46"/>
    <mergeCell ref="C43:C46"/>
    <mergeCell ref="A40:A41"/>
    <mergeCell ref="A51:A54"/>
    <mergeCell ref="B51:B54"/>
    <mergeCell ref="C51:C54"/>
    <mergeCell ref="C73:C77"/>
    <mergeCell ref="A73:A77"/>
    <mergeCell ref="B73:B77"/>
    <mergeCell ref="A61:A66"/>
    <mergeCell ref="A48:A49"/>
    <mergeCell ref="A58:A59"/>
    <mergeCell ref="A174:A178"/>
    <mergeCell ref="B174:B178"/>
    <mergeCell ref="C174:C178"/>
    <mergeCell ref="A108:A118"/>
    <mergeCell ref="B108:B118"/>
    <mergeCell ref="C108:C118"/>
    <mergeCell ref="A119:A120"/>
    <mergeCell ref="B119:B120"/>
    <mergeCell ref="C119:C120"/>
    <mergeCell ref="A126:A128"/>
    <mergeCell ref="B126:B128"/>
    <mergeCell ref="C126:C128"/>
    <mergeCell ref="A155:A158"/>
    <mergeCell ref="B155:B158"/>
    <mergeCell ref="C155:C158"/>
    <mergeCell ref="A159:A160"/>
    <mergeCell ref="B159:B160"/>
    <mergeCell ref="C159:C160"/>
    <mergeCell ref="C130:C131"/>
    <mergeCell ref="B130:B131"/>
    <mergeCell ref="A168:A169"/>
    <mergeCell ref="B168:B169"/>
    <mergeCell ref="C168:C169"/>
    <mergeCell ref="A170:A173"/>
  </mergeCells>
  <pageMargins left="0.78740157480314965" right="0.23622047244094491" top="0.39370078740157483" bottom="0.23622047244094491" header="0.31496062992125984" footer="0.31496062992125984"/>
  <pageSetup paperSize="9" scale="49" firstPageNumber="2" fitToHeight="0" orientation="landscape" useFirstPageNumber="1" horizontalDpi="300" r:id="rId1"/>
  <headerFooter>
    <oddHeader>&amp;C&amp;P</oddHeader>
  </headerFooter>
  <rowBreaks count="7" manualBreakCount="7">
    <brk id="36" max="12" man="1"/>
    <brk id="71" max="12" man="1"/>
    <brk id="97" max="12" man="1"/>
    <brk id="121" max="12" man="1"/>
    <brk id="140" max="12" man="1"/>
    <brk id="167" max="12" man="1"/>
    <brk id="18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Бочковская Юлия Владимировна</dc:creator>
  <cp:lastModifiedBy>Бочковская Юлия Владимировна</cp:lastModifiedBy>
  <cp:lastPrinted>2023-02-07T12:05:04Z</cp:lastPrinted>
  <dcterms:created xsi:type="dcterms:W3CDTF">2022-01-11T08:29:11Z</dcterms:created>
  <dcterms:modified xsi:type="dcterms:W3CDTF">2023-02-07T12:07:21Z</dcterms:modified>
</cp:coreProperties>
</file>